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fgovit-my.sharepoint.com/personal/sergio_manzon_rgsp_tesoro_it/Documents/Documenti/"/>
    </mc:Choice>
  </mc:AlternateContent>
  <xr:revisionPtr revIDLastSave="17" documentId="8_{3BFDDF3F-7A94-443F-ADC1-82C413017D00}" xr6:coauthVersionLast="47" xr6:coauthVersionMax="47" xr10:uidLastSave="{4183C794-AE3D-4C2A-83AD-4946C96AE073}"/>
  <bookViews>
    <workbookView xWindow="28680" yWindow="-120" windowWidth="29040" windowHeight="15840" xr2:uid="{B65224BB-23C4-4D09-AA97-31C0DAC34EA1}"/>
  </bookViews>
  <sheets>
    <sheet name="Foglio1" sheetId="14" r:id="rId1"/>
    <sheet name="ka01" sheetId="1" state="hidden" r:id="rId2"/>
    <sheet name="KA05" sheetId="4" state="hidden" r:id="rId3"/>
    <sheet name="KA07" sheetId="6" state="hidden" r:id="rId4"/>
    <sheet name="KA08" sheetId="7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6" l="1"/>
  <c r="G6" i="6"/>
  <c r="G5" i="6"/>
  <c r="I5" i="6" s="1"/>
  <c r="G3" i="6"/>
  <c r="G4" i="6"/>
  <c r="G2" i="6"/>
  <c r="F7" i="6"/>
  <c r="F6" i="6"/>
  <c r="F5" i="6"/>
  <c r="F4" i="6"/>
  <c r="F3" i="6"/>
  <c r="F2" i="6"/>
  <c r="U7" i="6"/>
  <c r="U6" i="6"/>
  <c r="U5" i="6"/>
  <c r="U3" i="6"/>
  <c r="U2" i="6"/>
  <c r="T7" i="6"/>
  <c r="T6" i="6"/>
  <c r="T5" i="6"/>
  <c r="T3" i="6"/>
  <c r="T2" i="6"/>
  <c r="I26" i="6"/>
  <c r="U4" i="7"/>
  <c r="U5" i="7"/>
  <c r="U6" i="7"/>
  <c r="U7" i="7"/>
  <c r="U3" i="7"/>
  <c r="T7" i="7"/>
  <c r="T6" i="7"/>
  <c r="T5" i="7"/>
  <c r="T4" i="7"/>
  <c r="T3" i="7"/>
  <c r="U2" i="7"/>
  <c r="T2" i="7"/>
  <c r="F7" i="7"/>
  <c r="H7" i="7" s="1"/>
  <c r="G7" i="7"/>
  <c r="G6" i="7"/>
  <c r="F6" i="7"/>
  <c r="G5" i="7"/>
  <c r="I5" i="7" s="1"/>
  <c r="K5" i="7" s="1"/>
  <c r="O5" i="7" s="1"/>
  <c r="F5" i="7"/>
  <c r="H5" i="7" s="1"/>
  <c r="G4" i="7"/>
  <c r="F4" i="7"/>
  <c r="G3" i="7"/>
  <c r="F3" i="7"/>
  <c r="G2" i="7"/>
  <c r="F2" i="7"/>
  <c r="I26" i="7"/>
  <c r="I26" i="4"/>
  <c r="G7" i="4"/>
  <c r="G6" i="4"/>
  <c r="G5" i="4"/>
  <c r="G4" i="4"/>
  <c r="G3" i="4"/>
  <c r="G2" i="4"/>
  <c r="F7" i="4"/>
  <c r="F6" i="4"/>
  <c r="F5" i="4"/>
  <c r="F4" i="4"/>
  <c r="F3" i="4"/>
  <c r="F2" i="4"/>
  <c r="U6" i="4"/>
  <c r="U5" i="4"/>
  <c r="U4" i="4"/>
  <c r="U3" i="4"/>
  <c r="U2" i="4"/>
  <c r="T6" i="4"/>
  <c r="T5" i="4"/>
  <c r="T4" i="4"/>
  <c r="T3" i="4"/>
  <c r="T2" i="4"/>
  <c r="I26" i="1"/>
  <c r="T7" i="1"/>
  <c r="T6" i="1"/>
  <c r="T5" i="1"/>
  <c r="T4" i="1"/>
  <c r="T3" i="1"/>
  <c r="T2" i="1"/>
  <c r="U7" i="1"/>
  <c r="U6" i="1"/>
  <c r="U5" i="1"/>
  <c r="U4" i="1"/>
  <c r="U3" i="1"/>
  <c r="U2" i="1"/>
  <c r="F7" i="1"/>
  <c r="F6" i="1"/>
  <c r="F5" i="1"/>
  <c r="F4" i="1"/>
  <c r="F3" i="1"/>
  <c r="G7" i="1"/>
  <c r="G6" i="1"/>
  <c r="G5" i="1"/>
  <c r="E5" i="1"/>
  <c r="E6" i="1"/>
  <c r="E7" i="1"/>
  <c r="G4" i="1"/>
  <c r="G3" i="1"/>
  <c r="G2" i="1"/>
  <c r="F2" i="1"/>
  <c r="G37" i="1"/>
  <c r="G38" i="1"/>
  <c r="G39" i="1"/>
  <c r="G40" i="1"/>
  <c r="G41" i="1"/>
  <c r="G36" i="1"/>
  <c r="B37" i="1"/>
  <c r="B38" i="1"/>
  <c r="B39" i="1"/>
  <c r="C39" i="1" s="1"/>
  <c r="B40" i="1"/>
  <c r="B41" i="1"/>
  <c r="B36" i="1"/>
  <c r="C40" i="1"/>
  <c r="D40" i="1" s="1"/>
  <c r="C36" i="1"/>
  <c r="D36" i="1" s="1"/>
  <c r="B29" i="1"/>
  <c r="B30" i="1"/>
  <c r="C30" i="1" s="1"/>
  <c r="D30" i="1" s="1"/>
  <c r="B31" i="1"/>
  <c r="B32" i="1"/>
  <c r="B33" i="1"/>
  <c r="C33" i="1" s="1"/>
  <c r="B28" i="1"/>
  <c r="E33" i="1"/>
  <c r="E32" i="1"/>
  <c r="C32" i="1"/>
  <c r="D32" i="1" s="1"/>
  <c r="E31" i="1"/>
  <c r="E30" i="1"/>
  <c r="E29" i="1"/>
  <c r="E28" i="1"/>
  <c r="C28" i="1"/>
  <c r="D28" i="1" s="1"/>
  <c r="B21" i="1"/>
  <c r="B22" i="1"/>
  <c r="C22" i="1" s="1"/>
  <c r="D22" i="1" s="1"/>
  <c r="B23" i="1"/>
  <c r="B24" i="1"/>
  <c r="C24" i="1" s="1"/>
  <c r="D24" i="1" s="1"/>
  <c r="B25" i="1"/>
  <c r="B20" i="1"/>
  <c r="C20" i="1" s="1"/>
  <c r="D20" i="1" s="1"/>
  <c r="E21" i="1"/>
  <c r="E22" i="1"/>
  <c r="E23" i="1"/>
  <c r="E24" i="1"/>
  <c r="E25" i="1"/>
  <c r="E20" i="1"/>
  <c r="G13" i="1"/>
  <c r="G14" i="1"/>
  <c r="G15" i="1"/>
  <c r="G16" i="1"/>
  <c r="G17" i="1"/>
  <c r="G12" i="1"/>
  <c r="F13" i="1"/>
  <c r="F14" i="1"/>
  <c r="F15" i="1"/>
  <c r="F16" i="1"/>
  <c r="F17" i="1"/>
  <c r="F12" i="1"/>
  <c r="E13" i="1"/>
  <c r="E14" i="1"/>
  <c r="E15" i="1"/>
  <c r="E16" i="1"/>
  <c r="E17" i="1"/>
  <c r="E12" i="1"/>
  <c r="D13" i="1"/>
  <c r="D14" i="1"/>
  <c r="D15" i="1"/>
  <c r="D16" i="1"/>
  <c r="D17" i="1"/>
  <c r="D12" i="1"/>
  <c r="C13" i="1"/>
  <c r="C14" i="1"/>
  <c r="C15" i="1"/>
  <c r="C16" i="1"/>
  <c r="C17" i="1"/>
  <c r="C12" i="1"/>
  <c r="B13" i="1"/>
  <c r="B14" i="1"/>
  <c r="B15" i="1"/>
  <c r="B16" i="1"/>
  <c r="B17" i="1"/>
  <c r="B12" i="1"/>
  <c r="E2" i="7"/>
  <c r="E3" i="7"/>
  <c r="E4" i="7"/>
  <c r="M17" i="1"/>
  <c r="M12" i="1"/>
  <c r="M16" i="1" s="1"/>
  <c r="M15" i="1"/>
  <c r="M14" i="1"/>
  <c r="M13" i="1"/>
  <c r="P7" i="7"/>
  <c r="Q7" i="7" s="1"/>
  <c r="R7" i="7" s="1"/>
  <c r="P6" i="7"/>
  <c r="Q6" i="7" s="1"/>
  <c r="R6" i="7" s="1"/>
  <c r="P5" i="7"/>
  <c r="Q5" i="7" s="1"/>
  <c r="R5" i="7" s="1"/>
  <c r="P7" i="6"/>
  <c r="Q7" i="6" s="1"/>
  <c r="R7" i="6" s="1"/>
  <c r="P6" i="6"/>
  <c r="H5" i="6"/>
  <c r="P5" i="6"/>
  <c r="Q5" i="6"/>
  <c r="R5" i="6"/>
  <c r="H6" i="6"/>
  <c r="J6" i="6" s="1"/>
  <c r="N6" i="6" s="1"/>
  <c r="I6" i="6"/>
  <c r="K6" i="6" s="1"/>
  <c r="O6" i="6" s="1"/>
  <c r="Q6" i="6"/>
  <c r="R6" i="6" s="1"/>
  <c r="H7" i="6"/>
  <c r="I7" i="6"/>
  <c r="U8" i="7" l="1"/>
  <c r="K26" i="7" s="1"/>
  <c r="K28" i="1" s="1"/>
  <c r="T8" i="7"/>
  <c r="J26" i="7" s="1"/>
  <c r="J28" i="1" s="1"/>
  <c r="T8" i="1"/>
  <c r="U8" i="1"/>
  <c r="F36" i="1"/>
  <c r="F40" i="1"/>
  <c r="D39" i="1"/>
  <c r="C38" i="1"/>
  <c r="D38" i="1" s="1"/>
  <c r="C37" i="1"/>
  <c r="D37" i="1" s="1"/>
  <c r="C41" i="1"/>
  <c r="D41" i="1" s="1"/>
  <c r="F30" i="1"/>
  <c r="G30" i="1" s="1"/>
  <c r="D31" i="1"/>
  <c r="F28" i="1"/>
  <c r="G28" i="1" s="1"/>
  <c r="F32" i="1"/>
  <c r="G32" i="1" s="1"/>
  <c r="C31" i="1"/>
  <c r="C29" i="1"/>
  <c r="D29" i="1" s="1"/>
  <c r="D33" i="1"/>
  <c r="F22" i="1"/>
  <c r="G22" i="1" s="1"/>
  <c r="F24" i="1"/>
  <c r="G24" i="1" s="1"/>
  <c r="F20" i="1"/>
  <c r="G20" i="1" s="1"/>
  <c r="D21" i="1"/>
  <c r="C23" i="1"/>
  <c r="D23" i="1" s="1"/>
  <c r="C21" i="1"/>
  <c r="C25" i="1"/>
  <c r="D25" i="1" s="1"/>
  <c r="I7" i="7"/>
  <c r="K7" i="7" s="1"/>
  <c r="O7" i="7" s="1"/>
  <c r="M18" i="1"/>
  <c r="J7" i="7"/>
  <c r="N7" i="7" s="1"/>
  <c r="J5" i="7"/>
  <c r="N5" i="7" s="1"/>
  <c r="S5" i="7" s="1"/>
  <c r="H6" i="7"/>
  <c r="J6" i="7" s="1"/>
  <c r="N6" i="7" s="1"/>
  <c r="I6" i="7"/>
  <c r="K6" i="7" s="1"/>
  <c r="O6" i="7" s="1"/>
  <c r="S6" i="6"/>
  <c r="K7" i="6"/>
  <c r="O7" i="6" s="1"/>
  <c r="K5" i="6"/>
  <c r="O5" i="6" s="1"/>
  <c r="J7" i="6"/>
  <c r="N7" i="6" s="1"/>
  <c r="J5" i="6"/>
  <c r="N5" i="6" s="1"/>
  <c r="P7" i="4"/>
  <c r="P6" i="4"/>
  <c r="Q6" i="4" s="1"/>
  <c r="R6" i="4" s="1"/>
  <c r="E5" i="4"/>
  <c r="H5" i="4"/>
  <c r="P5" i="4"/>
  <c r="Q5" i="4"/>
  <c r="R5" i="4"/>
  <c r="E6" i="4"/>
  <c r="H6" i="4"/>
  <c r="J6" i="4" s="1"/>
  <c r="N6" i="4" s="1"/>
  <c r="P7" i="1"/>
  <c r="Q7" i="1" s="1"/>
  <c r="R7" i="1" s="1"/>
  <c r="H7" i="1"/>
  <c r="J7" i="1" s="1"/>
  <c r="N7" i="1" s="1"/>
  <c r="P6" i="1"/>
  <c r="Q6" i="1" s="1"/>
  <c r="R6" i="1" s="1"/>
  <c r="H6" i="1"/>
  <c r="J6" i="1" s="1"/>
  <c r="N6" i="1" s="1"/>
  <c r="P5" i="1"/>
  <c r="Q5" i="1" s="1"/>
  <c r="R5" i="1" s="1"/>
  <c r="Q7" i="4"/>
  <c r="R7" i="4" s="1"/>
  <c r="E7" i="4"/>
  <c r="P4" i="7"/>
  <c r="H4" i="7"/>
  <c r="J4" i="7" s="1"/>
  <c r="N4" i="7" s="1"/>
  <c r="Q4" i="7"/>
  <c r="R4" i="7"/>
  <c r="P4" i="6"/>
  <c r="Q4" i="6" s="1"/>
  <c r="R4" i="6" s="1"/>
  <c r="H4" i="6"/>
  <c r="P4" i="4"/>
  <c r="E4" i="4"/>
  <c r="H4" i="4"/>
  <c r="I4" i="4"/>
  <c r="Q4" i="4"/>
  <c r="R4" i="4" s="1"/>
  <c r="E4" i="1"/>
  <c r="H4" i="1"/>
  <c r="J4" i="1" s="1"/>
  <c r="N4" i="1" s="1"/>
  <c r="P4" i="1"/>
  <c r="Q4" i="1" s="1"/>
  <c r="R4" i="1" s="1"/>
  <c r="P3" i="7"/>
  <c r="Q3" i="7" s="1"/>
  <c r="R3" i="7" s="1"/>
  <c r="H3" i="7"/>
  <c r="J3" i="7" s="1"/>
  <c r="N3" i="7" s="1"/>
  <c r="E3" i="6"/>
  <c r="H3" i="6"/>
  <c r="J3" i="6" s="1"/>
  <c r="N3" i="6" s="1"/>
  <c r="P3" i="6"/>
  <c r="Q3" i="6"/>
  <c r="R3" i="6"/>
  <c r="E3" i="4"/>
  <c r="I3" i="4" s="1"/>
  <c r="K3" i="4" s="1"/>
  <c r="O3" i="4" s="1"/>
  <c r="H3" i="4"/>
  <c r="P3" i="4"/>
  <c r="Q3" i="4" s="1"/>
  <c r="R3" i="4" s="1"/>
  <c r="E3" i="1"/>
  <c r="I3" i="1" s="1"/>
  <c r="H3" i="1"/>
  <c r="P3" i="1"/>
  <c r="Q3" i="1" s="1"/>
  <c r="R3" i="1" s="1"/>
  <c r="Q2" i="7"/>
  <c r="R2" i="7" s="1"/>
  <c r="P2" i="7"/>
  <c r="H2" i="7"/>
  <c r="I2" i="7"/>
  <c r="J2" i="7"/>
  <c r="N2" i="7" s="1"/>
  <c r="E2" i="6"/>
  <c r="I2" i="6" s="1"/>
  <c r="P2" i="6"/>
  <c r="Q2" i="6" s="1"/>
  <c r="R2" i="6" s="1"/>
  <c r="P2" i="4"/>
  <c r="Q2" i="4" s="1"/>
  <c r="R2" i="4" s="1"/>
  <c r="I2" i="4"/>
  <c r="K2" i="4" s="1"/>
  <c r="O2" i="4" s="1"/>
  <c r="H2" i="4"/>
  <c r="R2" i="1"/>
  <c r="Q2" i="1"/>
  <c r="P2" i="1"/>
  <c r="I2" i="1"/>
  <c r="K2" i="1" s="1"/>
  <c r="O2" i="1" s="1"/>
  <c r="H2" i="1"/>
  <c r="J2" i="1" s="1"/>
  <c r="N2" i="1" s="1"/>
  <c r="K26" i="1" l="1"/>
  <c r="J26" i="1"/>
  <c r="F38" i="1"/>
  <c r="F41" i="1"/>
  <c r="F37" i="1"/>
  <c r="F39" i="1"/>
  <c r="F29" i="1"/>
  <c r="G29" i="1" s="1"/>
  <c r="G33" i="1"/>
  <c r="F33" i="1"/>
  <c r="F31" i="1"/>
  <c r="G31" i="1" s="1"/>
  <c r="F21" i="1"/>
  <c r="G21" i="1" s="1"/>
  <c r="F23" i="1"/>
  <c r="G23" i="1" s="1"/>
  <c r="F25" i="1"/>
  <c r="G25" i="1"/>
  <c r="S7" i="7"/>
  <c r="S2" i="1"/>
  <c r="S6" i="7"/>
  <c r="S5" i="6"/>
  <c r="S7" i="6"/>
  <c r="I5" i="4"/>
  <c r="K5" i="4" s="1"/>
  <c r="O5" i="4" s="1"/>
  <c r="J5" i="4"/>
  <c r="N5" i="4" s="1"/>
  <c r="I6" i="4"/>
  <c r="K6" i="4" s="1"/>
  <c r="O6" i="4" s="1"/>
  <c r="S6" i="4" s="1"/>
  <c r="H5" i="1"/>
  <c r="J5" i="1" s="1"/>
  <c r="N5" i="1" s="1"/>
  <c r="I7" i="1"/>
  <c r="K7" i="1" s="1"/>
  <c r="O7" i="1" s="1"/>
  <c r="I6" i="1"/>
  <c r="K6" i="1" s="1"/>
  <c r="O6" i="1" s="1"/>
  <c r="I5" i="1"/>
  <c r="K5" i="1" s="1"/>
  <c r="O5" i="1" s="1"/>
  <c r="I7" i="4"/>
  <c r="K7" i="4" s="1"/>
  <c r="H7" i="4"/>
  <c r="J7" i="4" s="1"/>
  <c r="I4" i="7"/>
  <c r="K4" i="7" s="1"/>
  <c r="O4" i="7" s="1"/>
  <c r="S4" i="7" s="1"/>
  <c r="J4" i="6"/>
  <c r="I4" i="6"/>
  <c r="K4" i="6" s="1"/>
  <c r="K4" i="4"/>
  <c r="O4" i="4" s="1"/>
  <c r="J4" i="4"/>
  <c r="N4" i="4" s="1"/>
  <c r="I4" i="1"/>
  <c r="K4" i="1" s="1"/>
  <c r="O4" i="1" s="1"/>
  <c r="I3" i="7"/>
  <c r="K3" i="7" s="1"/>
  <c r="O3" i="7" s="1"/>
  <c r="S3" i="7" s="1"/>
  <c r="I3" i="6"/>
  <c r="K3" i="6" s="1"/>
  <c r="O3" i="6" s="1"/>
  <c r="S3" i="6" s="1"/>
  <c r="J3" i="4"/>
  <c r="N3" i="4" s="1"/>
  <c r="S3" i="4" s="1"/>
  <c r="K3" i="1"/>
  <c r="O3" i="1" s="1"/>
  <c r="J3" i="1"/>
  <c r="N3" i="1" s="1"/>
  <c r="K2" i="7"/>
  <c r="O2" i="7" s="1"/>
  <c r="S2" i="7" s="1"/>
  <c r="H2" i="6"/>
  <c r="J2" i="6" s="1"/>
  <c r="N2" i="6" s="1"/>
  <c r="K2" i="6"/>
  <c r="O2" i="6" s="1"/>
  <c r="J2" i="4"/>
  <c r="N2" i="4" s="1"/>
  <c r="S2" i="4" s="1"/>
  <c r="O4" i="6" l="1"/>
  <c r="U4" i="6"/>
  <c r="U8" i="6" s="1"/>
  <c r="K26" i="6" s="1"/>
  <c r="K29" i="1" s="1"/>
  <c r="N4" i="6"/>
  <c r="T4" i="6"/>
  <c r="T8" i="6" s="1"/>
  <c r="J26" i="6" s="1"/>
  <c r="J29" i="1" s="1"/>
  <c r="O7" i="4"/>
  <c r="U7" i="4"/>
  <c r="U8" i="4" s="1"/>
  <c r="K26" i="4" s="1"/>
  <c r="K27" i="1" s="1"/>
  <c r="N7" i="4"/>
  <c r="T7" i="4"/>
  <c r="T8" i="4" s="1"/>
  <c r="J26" i="4" s="1"/>
  <c r="J27" i="1" s="1"/>
  <c r="S7" i="1"/>
  <c r="S4" i="1"/>
  <c r="S6" i="1"/>
  <c r="S5" i="4"/>
  <c r="S5" i="1"/>
  <c r="S4" i="4"/>
  <c r="S3" i="1"/>
  <c r="S2" i="6"/>
  <c r="J32" i="1" l="1"/>
  <c r="I7" i="14" s="1"/>
  <c r="K32" i="1"/>
  <c r="I9" i="14" s="1"/>
  <c r="S4" i="6"/>
  <c r="S7" i="4"/>
  <c r="I11" i="14" l="1"/>
</calcChain>
</file>

<file path=xl/sharedStrings.xml><?xml version="1.0" encoding="utf-8"?>
<sst xmlns="http://schemas.openxmlformats.org/spreadsheetml/2006/main" count="107" uniqueCount="33">
  <si>
    <t>KA01</t>
  </si>
  <si>
    <t>AC</t>
  </si>
  <si>
    <t>AP</t>
  </si>
  <si>
    <t>PREV</t>
  </si>
  <si>
    <t>IMP</t>
  </si>
  <si>
    <t>MEDIA</t>
  </si>
  <si>
    <t>MAX</t>
  </si>
  <si>
    <t>CIA</t>
  </si>
  <si>
    <t>NETTO</t>
  </si>
  <si>
    <t>NETTISSIMO</t>
  </si>
  <si>
    <t>KA05</t>
  </si>
  <si>
    <t>RPD</t>
  </si>
  <si>
    <t>KA07</t>
  </si>
  <si>
    <t>KA08</t>
  </si>
  <si>
    <t>FASCIA</t>
  </si>
  <si>
    <t>CONTRI</t>
  </si>
  <si>
    <t>IMPN</t>
  </si>
  <si>
    <t>ALIQUOTA</t>
  </si>
  <si>
    <t>IRPEF</t>
  </si>
  <si>
    <t>CCNL SCUOLA CALCOLO ARRETRATI</t>
  </si>
  <si>
    <t>MEIDA</t>
  </si>
  <si>
    <t>ALIQUOTA MEDIA</t>
  </si>
  <si>
    <t>ALIQUOTA MASSIMA</t>
  </si>
  <si>
    <t>ARRETRATI</t>
  </si>
  <si>
    <t>TOTALE ARRETRATI</t>
  </si>
  <si>
    <t>COLLABORATORI SCOLASTICI KA01</t>
  </si>
  <si>
    <t>DOCENTI SCUOLA INFANZIA E PRIMARIA KA05</t>
  </si>
  <si>
    <t>1) SCEGLIERE DAL MENU A TENDINA LA QUALIFICA</t>
  </si>
  <si>
    <t>DOCENTI SCUOLA SECONDARIA II GRADO KA08</t>
  </si>
  <si>
    <t>DOCENTI SCUOLA SECONDARIA I GRADO KA07</t>
  </si>
  <si>
    <t>2) SCEGLIERE DAL MENU A TENDINA LA FASCIA</t>
  </si>
  <si>
    <t>3) INSERIRE LE ALIQUOTE RIPORTATE NEL CEDOLINO</t>
  </si>
  <si>
    <t>VERSIONE 4.01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</si>
</sst>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2" borderId="0" xfId="0" applyFill="1" applyAlignment="1">
      <alignment horizontal="center"/>
    </xf>
    <xf numFmtId="44" fontId="0" fillId="2" borderId="0" xfId="1" applyFont="1" applyFill="1"/>
    <xf numFmtId="0" fontId="0" fillId="3" borderId="0" xfId="0" applyFill="1" applyAlignment="1">
      <alignment horizontal="center"/>
    </xf>
    <xf numFmtId="44" fontId="0" fillId="3" borderId="0" xfId="1" applyFont="1" applyFill="1"/>
    <xf numFmtId="44" fontId="0" fillId="3" borderId="0" xfId="0" applyNumberFormat="1" applyFill="1"/>
    <xf numFmtId="44" fontId="0" fillId="2" borderId="0" xfId="0" applyNumberFormat="1" applyFill="1"/>
    <xf numFmtId="44" fontId="0" fillId="2" borderId="0" xfId="0" applyNumberFormat="1" applyFill="1" applyAlignment="1">
      <alignment horizontal="center"/>
    </xf>
    <xf numFmtId="44" fontId="0" fillId="3" borderId="0" xfId="0" applyNumberFormat="1" applyFill="1" applyAlignment="1">
      <alignment horizontal="center"/>
    </xf>
    <xf numFmtId="0" fontId="0" fillId="4" borderId="0" xfId="0" applyFill="1"/>
    <xf numFmtId="44" fontId="0" fillId="4" borderId="0" xfId="0" applyNumberFormat="1" applyFill="1"/>
    <xf numFmtId="0" fontId="2" fillId="0" borderId="0" xfId="0" applyFont="1"/>
    <xf numFmtId="44" fontId="0" fillId="0" borderId="0" xfId="0" applyNumberFormat="1"/>
    <xf numFmtId="17" fontId="0" fillId="2" borderId="0" xfId="0" applyNumberFormat="1" applyFill="1" applyAlignment="1">
      <alignment horizontal="center"/>
    </xf>
    <xf numFmtId="44" fontId="0" fillId="0" borderId="0" xfId="1" applyFont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4" fontId="3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6" borderId="0" xfId="0" applyFont="1" applyFill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6" borderId="0" xfId="0" applyFont="1" applyFill="1" applyAlignment="1">
      <alignment horizontal="center" vertical="center"/>
    </xf>
    <xf numFmtId="44" fontId="3" fillId="6" borderId="0" xfId="0" applyNumberFormat="1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5" borderId="0" xfId="0" applyFont="1" applyFill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 vertical="center"/>
      <protection locked="0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CD356-3958-45B5-B6DF-19EA9FD94006}">
  <dimension ref="A1:Z17"/>
  <sheetViews>
    <sheetView tabSelected="1" workbookViewId="0">
      <selection activeCell="A3" sqref="A3:P4"/>
    </sheetView>
  </sheetViews>
  <sheetFormatPr defaultRowHeight="31.5" x14ac:dyDescent="0.5"/>
  <cols>
    <col min="1" max="1" width="9.28515625" style="11" customWidth="1"/>
    <col min="2" max="2" width="17.42578125" style="11" customWidth="1"/>
    <col min="3" max="7" width="9.140625" style="11"/>
    <col min="8" max="8" width="14.85546875" style="11" customWidth="1"/>
    <col min="9" max="15" width="9.140625" style="11"/>
    <col min="16" max="16" width="30.85546875" style="11" customWidth="1"/>
    <col min="17" max="23" width="9.140625" style="11"/>
    <col min="24" max="25" width="0" style="11" hidden="1" customWidth="1"/>
    <col min="26" max="26" width="24.7109375" style="11" hidden="1" customWidth="1"/>
    <col min="27" max="27" width="3.85546875" style="11" bestFit="1" customWidth="1"/>
    <col min="28" max="16384" width="9.140625" style="11"/>
  </cols>
  <sheetData>
    <row r="1" spans="1:26" x14ac:dyDescent="0.5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26" x14ac:dyDescent="0.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X2" s="11">
        <v>0</v>
      </c>
      <c r="Z2" s="11" t="s">
        <v>25</v>
      </c>
    </row>
    <row r="3" spans="1:26" x14ac:dyDescent="0.5">
      <c r="A3" s="25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18"/>
      <c r="X3" s="11">
        <v>9</v>
      </c>
      <c r="Z3" s="11" t="s">
        <v>26</v>
      </c>
    </row>
    <row r="4" spans="1:26" x14ac:dyDescent="0.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18"/>
      <c r="X4" s="11">
        <v>15</v>
      </c>
      <c r="Z4" s="11" t="s">
        <v>29</v>
      </c>
    </row>
    <row r="5" spans="1:26" x14ac:dyDescent="0.5">
      <c r="A5" s="21" t="s">
        <v>14</v>
      </c>
      <c r="B5" s="21"/>
      <c r="C5" s="21"/>
      <c r="D5" s="21"/>
      <c r="E5" s="21"/>
      <c r="F5" s="21"/>
      <c r="G5" s="20">
        <v>35</v>
      </c>
      <c r="H5" s="20"/>
      <c r="I5" s="21" t="s">
        <v>23</v>
      </c>
      <c r="J5" s="21"/>
      <c r="K5" s="21"/>
      <c r="L5" s="21"/>
      <c r="M5" s="21"/>
      <c r="N5" s="21"/>
      <c r="O5" s="21"/>
      <c r="P5" s="21"/>
      <c r="X5" s="11">
        <v>21</v>
      </c>
      <c r="Z5" s="11" t="s">
        <v>28</v>
      </c>
    </row>
    <row r="6" spans="1:26" x14ac:dyDescent="0.5">
      <c r="A6" s="21"/>
      <c r="B6" s="21"/>
      <c r="C6" s="21"/>
      <c r="D6" s="21"/>
      <c r="E6" s="21"/>
      <c r="F6" s="21"/>
      <c r="G6" s="20"/>
      <c r="H6" s="20"/>
      <c r="I6" s="21"/>
      <c r="J6" s="21"/>
      <c r="K6" s="21"/>
      <c r="L6" s="21"/>
      <c r="M6" s="21"/>
      <c r="N6" s="21"/>
      <c r="O6" s="21"/>
      <c r="P6" s="21"/>
      <c r="X6" s="11">
        <v>28</v>
      </c>
    </row>
    <row r="7" spans="1:26" x14ac:dyDescent="0.5">
      <c r="A7" s="19" t="s">
        <v>21</v>
      </c>
      <c r="B7" s="19"/>
      <c r="C7" s="19"/>
      <c r="D7" s="19"/>
      <c r="E7" s="19"/>
      <c r="F7" s="19"/>
      <c r="G7" s="26">
        <v>23</v>
      </c>
      <c r="H7" s="26"/>
      <c r="I7" s="22">
        <f>'ka01'!J32*(100-Foglio1!G7)/100</f>
        <v>1012.2951492499998</v>
      </c>
      <c r="J7" s="23"/>
      <c r="K7" s="23"/>
      <c r="L7" s="23"/>
      <c r="M7" s="23"/>
      <c r="N7" s="23"/>
      <c r="O7" s="23"/>
      <c r="P7" s="23"/>
      <c r="X7" s="11">
        <v>35</v>
      </c>
    </row>
    <row r="8" spans="1:26" x14ac:dyDescent="0.5">
      <c r="A8" s="19"/>
      <c r="B8" s="19"/>
      <c r="C8" s="19"/>
      <c r="D8" s="19"/>
      <c r="E8" s="19"/>
      <c r="F8" s="19"/>
      <c r="G8" s="26"/>
      <c r="H8" s="26"/>
      <c r="I8" s="23"/>
      <c r="J8" s="23"/>
      <c r="K8" s="23"/>
      <c r="L8" s="23"/>
      <c r="M8" s="23"/>
      <c r="N8" s="23"/>
      <c r="O8" s="23"/>
      <c r="P8" s="23"/>
    </row>
    <row r="9" spans="1:26" x14ac:dyDescent="0.5">
      <c r="A9" s="19" t="s">
        <v>22</v>
      </c>
      <c r="B9" s="19"/>
      <c r="C9" s="19"/>
      <c r="D9" s="19"/>
      <c r="E9" s="19"/>
      <c r="F9" s="19"/>
      <c r="G9" s="20">
        <v>35</v>
      </c>
      <c r="H9" s="20"/>
      <c r="I9" s="22">
        <f>'ka01'!K32*(100-Foglio1!G9)/100</f>
        <v>569.39344800000003</v>
      </c>
      <c r="J9" s="23"/>
      <c r="K9" s="23"/>
      <c r="L9" s="23"/>
      <c r="M9" s="23"/>
      <c r="N9" s="23"/>
      <c r="O9" s="23"/>
      <c r="P9" s="23"/>
    </row>
    <row r="10" spans="1:26" x14ac:dyDescent="0.5">
      <c r="A10" s="19"/>
      <c r="B10" s="19"/>
      <c r="C10" s="19"/>
      <c r="D10" s="19"/>
      <c r="E10" s="19"/>
      <c r="F10" s="19"/>
      <c r="G10" s="20"/>
      <c r="H10" s="20"/>
      <c r="I10" s="23"/>
      <c r="J10" s="23"/>
      <c r="K10" s="23"/>
      <c r="L10" s="23"/>
      <c r="M10" s="23"/>
      <c r="N10" s="23"/>
      <c r="O10" s="23"/>
      <c r="P10" s="23"/>
    </row>
    <row r="11" spans="1:26" x14ac:dyDescent="0.5">
      <c r="A11" s="16" t="s">
        <v>24</v>
      </c>
      <c r="B11" s="16"/>
      <c r="C11" s="16"/>
      <c r="D11" s="16"/>
      <c r="E11" s="16"/>
      <c r="F11" s="16"/>
      <c r="G11" s="16"/>
      <c r="H11" s="16"/>
      <c r="I11" s="17">
        <f>I7+I9</f>
        <v>1581.6885972499999</v>
      </c>
      <c r="J11" s="16"/>
      <c r="K11" s="16"/>
      <c r="L11" s="16"/>
      <c r="M11" s="16"/>
      <c r="N11" s="16"/>
      <c r="O11" s="16"/>
      <c r="P11" s="16"/>
    </row>
    <row r="12" spans="1:26" x14ac:dyDescent="0.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3" spans="1:26" ht="34.5" customHeight="1" x14ac:dyDescent="0.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26" x14ac:dyDescent="0.5">
      <c r="A14" s="18" t="s">
        <v>32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 spans="1:26" x14ac:dyDescent="0.5">
      <c r="A15" s="11" t="s">
        <v>27</v>
      </c>
    </row>
    <row r="16" spans="1:26" x14ac:dyDescent="0.5">
      <c r="A16" s="11" t="s">
        <v>30</v>
      </c>
    </row>
    <row r="17" spans="1:1" x14ac:dyDescent="0.5">
      <c r="A17" s="11" t="s">
        <v>31</v>
      </c>
    </row>
  </sheetData>
  <sheetProtection algorithmName="SHA-512" hashValue="9Dp32YRlFrVRQE/fMeUFfw25JhuXC67sAPeZFVNX6AQjTTjNhBVfBfIaSS8MKkRh6hR0p37EYljBmmHMvtUHUA==" saltValue="rdjTlBKWJf70Gb2hYK4zLA==" spinCount="100000" sheet="1" objects="1" scenarios="1"/>
  <mergeCells count="15">
    <mergeCell ref="Q3:Q4"/>
    <mergeCell ref="I5:P6"/>
    <mergeCell ref="I7:P8"/>
    <mergeCell ref="I9:P10"/>
    <mergeCell ref="A1:P2"/>
    <mergeCell ref="A3:P4"/>
    <mergeCell ref="A5:F6"/>
    <mergeCell ref="G5:H6"/>
    <mergeCell ref="A11:H12"/>
    <mergeCell ref="I11:P12"/>
    <mergeCell ref="A14:P14"/>
    <mergeCell ref="A7:F8"/>
    <mergeCell ref="G7:H8"/>
    <mergeCell ref="A9:F10"/>
    <mergeCell ref="G9:H10"/>
  </mergeCells>
  <dataValidations count="2">
    <dataValidation type="list" allowBlank="1" showInputMessage="1" showErrorMessage="1" sqref="A3:P4" xr:uid="{E0C7607F-CBE1-4056-BD96-9E605DCE7300}">
      <formula1>$Z$2:$Z$5</formula1>
    </dataValidation>
    <dataValidation type="list" allowBlank="1" showInputMessage="1" showErrorMessage="1" sqref="G5:H6" xr:uid="{F04574CC-F3C4-418F-B402-C7919F7CDAA2}">
      <formula1>$X$2:$X$7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61A84-E19F-4AFB-AD06-5AE4239DBC8F}">
  <dimension ref="A1:U41"/>
  <sheetViews>
    <sheetView workbookViewId="0">
      <selection activeCell="K30" sqref="K30"/>
    </sheetView>
  </sheetViews>
  <sheetFormatPr defaultRowHeight="15" x14ac:dyDescent="0.25"/>
  <cols>
    <col min="2" max="5" width="9.28515625" bestFit="1" customWidth="1"/>
    <col min="6" max="6" width="11" bestFit="1" customWidth="1"/>
    <col min="7" max="8" width="9.42578125" bestFit="1" customWidth="1"/>
    <col min="10" max="10" width="11" bestFit="1" customWidth="1"/>
    <col min="11" max="11" width="9.42578125" bestFit="1" customWidth="1"/>
    <col min="14" max="14" width="9.42578125" bestFit="1" customWidth="1"/>
    <col min="19" max="19" width="11.7109375" bestFit="1" customWidth="1"/>
    <col min="20" max="20" width="9.42578125" bestFit="1" customWidth="1"/>
    <col min="21" max="21" width="11" bestFit="1" customWidth="1"/>
  </cols>
  <sheetData>
    <row r="1" spans="1:21" x14ac:dyDescent="0.25">
      <c r="B1" s="13">
        <v>43466</v>
      </c>
      <c r="C1" s="1">
        <v>2020</v>
      </c>
      <c r="D1" s="1">
        <v>2021</v>
      </c>
      <c r="E1" s="3">
        <v>2022</v>
      </c>
      <c r="F1" s="1" t="s">
        <v>2</v>
      </c>
      <c r="G1" s="3" t="s">
        <v>1</v>
      </c>
      <c r="H1" s="1" t="s">
        <v>3</v>
      </c>
      <c r="I1" s="3" t="s">
        <v>3</v>
      </c>
      <c r="J1" s="1" t="s">
        <v>4</v>
      </c>
      <c r="K1" s="3" t="s">
        <v>4</v>
      </c>
      <c r="L1" s="1" t="s">
        <v>5</v>
      </c>
      <c r="M1" s="3" t="s">
        <v>6</v>
      </c>
      <c r="N1" s="1" t="s">
        <v>5</v>
      </c>
      <c r="O1" s="3" t="s">
        <v>6</v>
      </c>
      <c r="P1" s="3" t="s">
        <v>7</v>
      </c>
      <c r="Q1" s="3" t="s">
        <v>4</v>
      </c>
      <c r="R1" s="3" t="s">
        <v>8</v>
      </c>
      <c r="S1" s="9" t="s">
        <v>9</v>
      </c>
      <c r="T1" s="3" t="s">
        <v>20</v>
      </c>
      <c r="U1" s="3" t="s">
        <v>6</v>
      </c>
    </row>
    <row r="2" spans="1:21" x14ac:dyDescent="0.25">
      <c r="A2" t="s">
        <v>0</v>
      </c>
      <c r="B2" s="2">
        <v>12</v>
      </c>
      <c r="C2" s="2">
        <v>22.1</v>
      </c>
      <c r="D2" s="2">
        <v>49</v>
      </c>
      <c r="E2" s="4">
        <v>49</v>
      </c>
      <c r="F2" s="2">
        <f>(B2+C2+D2)*13-5.44*3-9.06*7-9.06*26</f>
        <v>765</v>
      </c>
      <c r="G2" s="4">
        <f>E2*13-9.06*13</f>
        <v>519.22</v>
      </c>
      <c r="H2" s="2">
        <f t="shared" ref="H2:I4" si="0">F2*11.15%</f>
        <v>85.297499999999999</v>
      </c>
      <c r="I2" s="5">
        <f t="shared" si="0"/>
        <v>57.893030000000003</v>
      </c>
      <c r="J2" s="6">
        <f t="shared" ref="J2:K4" si="1">F2-H2</f>
        <v>679.70249999999999</v>
      </c>
      <c r="K2" s="5">
        <f t="shared" si="1"/>
        <v>461.32697000000002</v>
      </c>
      <c r="L2" s="1">
        <v>23</v>
      </c>
      <c r="M2" s="3">
        <v>25</v>
      </c>
      <c r="N2" s="7">
        <f t="shared" ref="N2:O4" si="2">J2*(100-L2)/100</f>
        <v>523.37092499999994</v>
      </c>
      <c r="O2" s="8">
        <f t="shared" si="2"/>
        <v>345.99522750000006</v>
      </c>
      <c r="P2" s="4">
        <f t="shared" ref="P2:P7" si="3">5.8*12</f>
        <v>69.599999999999994</v>
      </c>
      <c r="Q2" s="5">
        <f t="shared" ref="Q2:Q7" si="4">P2*(100-9.15)/100</f>
        <v>63.231599999999986</v>
      </c>
      <c r="R2" s="5">
        <f t="shared" ref="R2:R7" si="5">Q2*(100-M2)/100</f>
        <v>47.42369999999999</v>
      </c>
      <c r="S2" s="10">
        <f t="shared" ref="S2:S7" si="6">N2+O2+R2</f>
        <v>916.78985249999994</v>
      </c>
      <c r="T2" s="14">
        <f>IF(Foglio1!$G$5=0,'ka01'!J2,0)</f>
        <v>0</v>
      </c>
      <c r="U2" s="14">
        <f>IF(Foglio1!$G$5=0,'ka01'!K2,0)</f>
        <v>0</v>
      </c>
    </row>
    <row r="3" spans="1:21" x14ac:dyDescent="0.25">
      <c r="A3">
        <v>9</v>
      </c>
      <c r="B3" s="2">
        <v>13.1</v>
      </c>
      <c r="C3" s="2">
        <v>24.1</v>
      </c>
      <c r="D3" s="2">
        <v>53</v>
      </c>
      <c r="E3" s="4">
        <f>D3</f>
        <v>53</v>
      </c>
      <c r="F3" s="2">
        <f>(B3+C3+D3)*13-5.92*3-9.87*7-9.87*26</f>
        <v>829.13000000000022</v>
      </c>
      <c r="G3" s="4">
        <f>E3*13-9.87*13</f>
        <v>560.69000000000005</v>
      </c>
      <c r="H3" s="2">
        <f t="shared" si="0"/>
        <v>92.44799500000002</v>
      </c>
      <c r="I3" s="5">
        <f t="shared" si="0"/>
        <v>62.516935000000004</v>
      </c>
      <c r="J3" s="6">
        <f t="shared" si="1"/>
        <v>736.68200500000023</v>
      </c>
      <c r="K3" s="5">
        <f t="shared" si="1"/>
        <v>498.17306500000007</v>
      </c>
      <c r="L3" s="1">
        <v>23.4</v>
      </c>
      <c r="M3" s="3">
        <v>25</v>
      </c>
      <c r="N3" s="7">
        <f t="shared" si="2"/>
        <v>564.29841583000018</v>
      </c>
      <c r="O3" s="8">
        <f t="shared" si="2"/>
        <v>373.62979875000002</v>
      </c>
      <c r="P3" s="4">
        <f t="shared" si="3"/>
        <v>69.599999999999994</v>
      </c>
      <c r="Q3" s="5">
        <f t="shared" si="4"/>
        <v>63.231599999999986</v>
      </c>
      <c r="R3" s="5">
        <f t="shared" si="5"/>
        <v>47.42369999999999</v>
      </c>
      <c r="S3" s="10">
        <f t="shared" si="6"/>
        <v>985.3519145800002</v>
      </c>
      <c r="T3" s="14">
        <f>IF(Foglio1!$G$5=9,'ka01'!J3,0)</f>
        <v>0</v>
      </c>
      <c r="U3" s="14">
        <f>IF(Foglio1!$G$5=9,'ka01'!K3,0)</f>
        <v>0</v>
      </c>
    </row>
    <row r="4" spans="1:21" x14ac:dyDescent="0.25">
      <c r="A4">
        <v>15</v>
      </c>
      <c r="B4" s="2">
        <v>13.9</v>
      </c>
      <c r="C4" s="2">
        <v>25.6</v>
      </c>
      <c r="D4" s="2">
        <v>56</v>
      </c>
      <c r="E4" s="4">
        <f>D4</f>
        <v>56</v>
      </c>
      <c r="F4" s="2">
        <f>(B4+C4+D4)*13-6.28*3-10.46*7-10.46*26</f>
        <v>877.48</v>
      </c>
      <c r="G4" s="4">
        <f>E4*13-10.46*13</f>
        <v>592.02</v>
      </c>
      <c r="H4" s="2">
        <f t="shared" si="0"/>
        <v>97.839020000000005</v>
      </c>
      <c r="I4" s="5">
        <f t="shared" si="0"/>
        <v>66.010229999999993</v>
      </c>
      <c r="J4" s="6">
        <f t="shared" si="1"/>
        <v>779.64098000000001</v>
      </c>
      <c r="K4" s="5">
        <f t="shared" si="1"/>
        <v>526.00977</v>
      </c>
      <c r="L4" s="1">
        <v>23.4</v>
      </c>
      <c r="M4" s="3">
        <v>25</v>
      </c>
      <c r="N4" s="7">
        <f t="shared" si="2"/>
        <v>597.20499067999992</v>
      </c>
      <c r="O4" s="8">
        <f t="shared" si="2"/>
        <v>394.50732750000003</v>
      </c>
      <c r="P4" s="4">
        <f t="shared" si="3"/>
        <v>69.599999999999994</v>
      </c>
      <c r="Q4" s="5">
        <f t="shared" si="4"/>
        <v>63.231599999999986</v>
      </c>
      <c r="R4" s="5">
        <f t="shared" si="5"/>
        <v>47.42369999999999</v>
      </c>
      <c r="S4" s="10">
        <f t="shared" si="6"/>
        <v>1039.1360181800001</v>
      </c>
      <c r="T4" s="14">
        <f>IF(Foglio1!$G$5=15,'ka01'!J4,0)</f>
        <v>0</v>
      </c>
      <c r="U4" s="14">
        <f>IF(Foglio1!$G$5=15,'ka01'!K4,0)</f>
        <v>0</v>
      </c>
    </row>
    <row r="5" spans="1:21" x14ac:dyDescent="0.25">
      <c r="A5">
        <v>21</v>
      </c>
      <c r="B5" s="2">
        <v>14.6</v>
      </c>
      <c r="C5" s="2">
        <v>27</v>
      </c>
      <c r="D5" s="2">
        <v>60</v>
      </c>
      <c r="E5" s="4">
        <f t="shared" ref="E5:E7" si="7">D5</f>
        <v>60</v>
      </c>
      <c r="F5" s="2">
        <f>(B5+C5+D5)*13-6.62*3-11.04*7-11.04*26</f>
        <v>936.62000000000012</v>
      </c>
      <c r="G5" s="4">
        <f>E5*13-11.04*13</f>
        <v>636.48</v>
      </c>
      <c r="H5" s="2">
        <f t="shared" ref="H5:H7" si="8">F5*11.15%</f>
        <v>104.43313000000002</v>
      </c>
      <c r="I5" s="5">
        <f t="shared" ref="I5:I7" si="9">G5*11.15%</f>
        <v>70.967520000000007</v>
      </c>
      <c r="J5" s="6">
        <f t="shared" ref="J5:J7" si="10">F5-H5</f>
        <v>832.18687000000011</v>
      </c>
      <c r="K5" s="5">
        <f t="shared" ref="K5:K7" si="11">G5-I5</f>
        <v>565.51247999999998</v>
      </c>
      <c r="L5" s="1">
        <v>23.4</v>
      </c>
      <c r="M5" s="3">
        <v>25</v>
      </c>
      <c r="N5" s="7">
        <f t="shared" ref="N5:N7" si="12">J5*(100-L5)/100</f>
        <v>637.45514242000002</v>
      </c>
      <c r="O5" s="8">
        <f t="shared" ref="O5:O7" si="13">K5*(100-M5)/100</f>
        <v>424.13436000000002</v>
      </c>
      <c r="P5" s="4">
        <f t="shared" si="3"/>
        <v>69.599999999999994</v>
      </c>
      <c r="Q5" s="5">
        <f t="shared" si="4"/>
        <v>63.231599999999986</v>
      </c>
      <c r="R5" s="5">
        <f t="shared" si="5"/>
        <v>47.42369999999999</v>
      </c>
      <c r="S5" s="10">
        <f t="shared" si="6"/>
        <v>1109.01320242</v>
      </c>
      <c r="T5" s="14">
        <f>IF(Foglio1!$G$5=21,'ka01'!J5,0)</f>
        <v>0</v>
      </c>
      <c r="U5" s="14">
        <f>IF(Foglio1!$G$5=21,'ka01'!K5,0)</f>
        <v>0</v>
      </c>
    </row>
    <row r="6" spans="1:21" x14ac:dyDescent="0.25">
      <c r="A6">
        <v>28</v>
      </c>
      <c r="B6" s="2">
        <v>15.2</v>
      </c>
      <c r="C6" s="2">
        <v>28</v>
      </c>
      <c r="D6" s="2">
        <v>62</v>
      </c>
      <c r="E6" s="4">
        <f t="shared" si="7"/>
        <v>62</v>
      </c>
      <c r="F6" s="2">
        <f>(B6+C6+D6)*13-6.89*3-11.48*7-11.48*26</f>
        <v>968.09000000000015</v>
      </c>
      <c r="G6" s="4">
        <f>E6*13-11.48*13</f>
        <v>656.76</v>
      </c>
      <c r="H6" s="2">
        <f t="shared" si="8"/>
        <v>107.94203500000002</v>
      </c>
      <c r="I6" s="5">
        <f t="shared" si="9"/>
        <v>73.228740000000002</v>
      </c>
      <c r="J6" s="6">
        <f t="shared" si="10"/>
        <v>860.14796500000011</v>
      </c>
      <c r="K6" s="5">
        <f t="shared" si="11"/>
        <v>583.53125999999997</v>
      </c>
      <c r="L6" s="1">
        <v>23.4</v>
      </c>
      <c r="M6" s="3">
        <v>25</v>
      </c>
      <c r="N6" s="7">
        <f t="shared" si="12"/>
        <v>658.87334119000002</v>
      </c>
      <c r="O6" s="8">
        <f t="shared" si="13"/>
        <v>437.64844499999998</v>
      </c>
      <c r="P6" s="4">
        <f t="shared" si="3"/>
        <v>69.599999999999994</v>
      </c>
      <c r="Q6" s="5">
        <f t="shared" si="4"/>
        <v>63.231599999999986</v>
      </c>
      <c r="R6" s="5">
        <f t="shared" si="5"/>
        <v>47.42369999999999</v>
      </c>
      <c r="S6" s="10">
        <f t="shared" si="6"/>
        <v>1143.9454861900001</v>
      </c>
      <c r="T6" s="14">
        <f>IF(Foglio1!$G$5=28,'ka01'!J6,0)</f>
        <v>0</v>
      </c>
      <c r="U6" s="14">
        <f>IF(Foglio1!$G$5=28,'ka01'!K6,0)</f>
        <v>0</v>
      </c>
    </row>
    <row r="7" spans="1:21" x14ac:dyDescent="0.25">
      <c r="A7">
        <v>35</v>
      </c>
      <c r="B7" s="2">
        <v>15.6</v>
      </c>
      <c r="C7" s="2">
        <v>28.8</v>
      </c>
      <c r="D7" s="2">
        <v>64</v>
      </c>
      <c r="E7" s="4">
        <f t="shared" si="7"/>
        <v>64</v>
      </c>
      <c r="F7" s="2">
        <f>(B7+C7+D7)*13-7.07*3-11.79*7-11.79*26</f>
        <v>998.92000000000007</v>
      </c>
      <c r="G7" s="4">
        <f>E7*13-11.79*13</f>
        <v>678.73</v>
      </c>
      <c r="H7" s="2">
        <f t="shared" si="8"/>
        <v>111.37958</v>
      </c>
      <c r="I7" s="5">
        <f t="shared" si="9"/>
        <v>75.678395000000009</v>
      </c>
      <c r="J7" s="6">
        <f t="shared" si="10"/>
        <v>887.54042000000004</v>
      </c>
      <c r="K7" s="5">
        <f t="shared" si="11"/>
        <v>603.051605</v>
      </c>
      <c r="L7" s="1">
        <v>23.4</v>
      </c>
      <c r="M7" s="3">
        <v>25</v>
      </c>
      <c r="N7" s="7">
        <f t="shared" si="12"/>
        <v>679.8559617200001</v>
      </c>
      <c r="O7" s="8">
        <f t="shared" si="13"/>
        <v>452.28870374999997</v>
      </c>
      <c r="P7" s="4">
        <f t="shared" si="3"/>
        <v>69.599999999999994</v>
      </c>
      <c r="Q7" s="5">
        <f t="shared" si="4"/>
        <v>63.231599999999986</v>
      </c>
      <c r="R7" s="5">
        <f t="shared" si="5"/>
        <v>47.42369999999999</v>
      </c>
      <c r="S7" s="10">
        <f t="shared" si="6"/>
        <v>1179.5683654700001</v>
      </c>
      <c r="T7" s="14">
        <f>IF(Foglio1!$G$5=35,'ka01'!J7,0)</f>
        <v>887.54042000000004</v>
      </c>
      <c r="U7" s="14">
        <f>IF(Foglio1!$G$5=35,'ka01'!K7,0)</f>
        <v>603.051605</v>
      </c>
    </row>
    <row r="8" spans="1:21" x14ac:dyDescent="0.25">
      <c r="T8" s="12">
        <f>SUM(T2:T7)</f>
        <v>887.54042000000004</v>
      </c>
      <c r="U8" s="12">
        <f>SUM(U2:U7)</f>
        <v>603.051605</v>
      </c>
    </row>
    <row r="11" spans="1:21" x14ac:dyDescent="0.25">
      <c r="B11">
        <v>2019</v>
      </c>
      <c r="C11" t="s">
        <v>15</v>
      </c>
      <c r="D11" t="s">
        <v>16</v>
      </c>
      <c r="E11" t="s">
        <v>17</v>
      </c>
      <c r="F11" t="s">
        <v>18</v>
      </c>
      <c r="G11" t="s">
        <v>8</v>
      </c>
    </row>
    <row r="12" spans="1:21" x14ac:dyDescent="0.25">
      <c r="A12">
        <v>0</v>
      </c>
      <c r="B12" s="12">
        <f>B2*13</f>
        <v>156</v>
      </c>
      <c r="C12" s="12">
        <f>B12*11.15/100</f>
        <v>17.394000000000002</v>
      </c>
      <c r="D12" s="12">
        <f>B12-C12</f>
        <v>138.60599999999999</v>
      </c>
      <c r="E12">
        <f>L2</f>
        <v>23</v>
      </c>
      <c r="F12" s="12">
        <f>D12*E12/100</f>
        <v>31.879380000000001</v>
      </c>
      <c r="G12" s="12">
        <f>D12-F12</f>
        <v>106.72662</v>
      </c>
      <c r="M12">
        <f>54.8*13</f>
        <v>712.4</v>
      </c>
    </row>
    <row r="13" spans="1:21" x14ac:dyDescent="0.25">
      <c r="A13">
        <v>9</v>
      </c>
      <c r="B13" s="12">
        <f t="shared" ref="B13:B17" si="14">B3*13</f>
        <v>170.29999999999998</v>
      </c>
      <c r="C13" s="12">
        <f t="shared" ref="C13:C17" si="15">B13*11.15/100</f>
        <v>18.988449999999997</v>
      </c>
      <c r="D13" s="12">
        <f t="shared" ref="D13:D17" si="16">B13-C13</f>
        <v>151.31154999999998</v>
      </c>
      <c r="E13">
        <f t="shared" ref="E13:E17" si="17">L3</f>
        <v>23.4</v>
      </c>
      <c r="F13" s="12">
        <f t="shared" ref="F13:F17" si="18">D13*E13/100</f>
        <v>35.406902699999996</v>
      </c>
      <c r="G13" s="12">
        <f t="shared" ref="G13:G17" si="19">D13-F13</f>
        <v>115.90464729999999</v>
      </c>
      <c r="M13">
        <f>49*13</f>
        <v>637</v>
      </c>
    </row>
    <row r="14" spans="1:21" x14ac:dyDescent="0.25">
      <c r="A14">
        <v>15</v>
      </c>
      <c r="B14" s="12">
        <f t="shared" si="14"/>
        <v>180.70000000000002</v>
      </c>
      <c r="C14" s="12">
        <f t="shared" si="15"/>
        <v>20.148050000000001</v>
      </c>
      <c r="D14" s="12">
        <f t="shared" si="16"/>
        <v>160.55195000000001</v>
      </c>
      <c r="E14">
        <f t="shared" si="17"/>
        <v>23.4</v>
      </c>
      <c r="F14" s="12">
        <f t="shared" si="18"/>
        <v>37.569156300000003</v>
      </c>
      <c r="G14" s="12">
        <f t="shared" si="19"/>
        <v>122.9827937</v>
      </c>
      <c r="M14">
        <f>22.1*13</f>
        <v>287.3</v>
      </c>
    </row>
    <row r="15" spans="1:21" x14ac:dyDescent="0.25">
      <c r="A15">
        <v>21</v>
      </c>
      <c r="B15" s="12">
        <f t="shared" si="14"/>
        <v>189.79999999999998</v>
      </c>
      <c r="C15" s="12">
        <f t="shared" si="15"/>
        <v>21.162700000000001</v>
      </c>
      <c r="D15" s="12">
        <f t="shared" si="16"/>
        <v>168.63729999999998</v>
      </c>
      <c r="E15">
        <f t="shared" si="17"/>
        <v>23.4</v>
      </c>
      <c r="F15" s="12">
        <f t="shared" si="18"/>
        <v>39.46112819999999</v>
      </c>
      <c r="G15" s="12">
        <f t="shared" si="19"/>
        <v>129.17617179999999</v>
      </c>
      <c r="M15">
        <f>12*13</f>
        <v>156</v>
      </c>
    </row>
    <row r="16" spans="1:21" x14ac:dyDescent="0.25">
      <c r="A16">
        <v>28</v>
      </c>
      <c r="B16" s="12">
        <f t="shared" si="14"/>
        <v>197.6</v>
      </c>
      <c r="C16" s="12">
        <f t="shared" si="15"/>
        <v>22.032399999999999</v>
      </c>
      <c r="D16" s="12">
        <f t="shared" si="16"/>
        <v>175.5676</v>
      </c>
      <c r="E16">
        <f t="shared" si="17"/>
        <v>23.4</v>
      </c>
      <c r="F16" s="12">
        <f t="shared" si="18"/>
        <v>41.082818399999994</v>
      </c>
      <c r="G16" s="12">
        <f t="shared" si="19"/>
        <v>134.48478160000002</v>
      </c>
      <c r="M16">
        <f>M12+M13+M14+M15</f>
        <v>1792.7</v>
      </c>
    </row>
    <row r="17" spans="1:13" x14ac:dyDescent="0.25">
      <c r="A17">
        <v>35</v>
      </c>
      <c r="B17" s="12">
        <f t="shared" si="14"/>
        <v>202.79999999999998</v>
      </c>
      <c r="C17" s="12">
        <f t="shared" si="15"/>
        <v>22.612199999999998</v>
      </c>
      <c r="D17" s="12">
        <f t="shared" si="16"/>
        <v>180.18779999999998</v>
      </c>
      <c r="E17">
        <f t="shared" si="17"/>
        <v>23.4</v>
      </c>
      <c r="F17" s="12">
        <f t="shared" si="18"/>
        <v>42.163945199999986</v>
      </c>
      <c r="G17" s="12">
        <f t="shared" si="19"/>
        <v>138.02385479999998</v>
      </c>
      <c r="M17">
        <f>M16*24%</f>
        <v>430.24799999999999</v>
      </c>
    </row>
    <row r="18" spans="1:13" x14ac:dyDescent="0.25">
      <c r="M18">
        <f>M16-M17</f>
        <v>1362.452</v>
      </c>
    </row>
    <row r="19" spans="1:13" x14ac:dyDescent="0.25">
      <c r="B19">
        <v>2020</v>
      </c>
      <c r="C19" t="s">
        <v>15</v>
      </c>
      <c r="D19" t="s">
        <v>16</v>
      </c>
      <c r="E19" t="s">
        <v>17</v>
      </c>
      <c r="F19" t="s">
        <v>18</v>
      </c>
      <c r="G19" t="s">
        <v>8</v>
      </c>
    </row>
    <row r="20" spans="1:13" x14ac:dyDescent="0.25">
      <c r="A20">
        <v>0</v>
      </c>
      <c r="B20" s="12">
        <f>C2*13</f>
        <v>287.3</v>
      </c>
      <c r="C20" s="12">
        <f>B20*11.15/100</f>
        <v>32.033950000000004</v>
      </c>
      <c r="D20" s="12">
        <f>B20-C20</f>
        <v>255.26605000000001</v>
      </c>
      <c r="E20">
        <f>E12</f>
        <v>23</v>
      </c>
      <c r="F20" s="12">
        <f>D20*E20/100</f>
        <v>58.711191500000005</v>
      </c>
      <c r="G20" s="12">
        <f>D20-F20</f>
        <v>196.55485849999999</v>
      </c>
    </row>
    <row r="21" spans="1:13" x14ac:dyDescent="0.25">
      <c r="A21">
        <v>9</v>
      </c>
      <c r="B21" s="12">
        <f t="shared" ref="B21:B25" si="20">C3*13</f>
        <v>313.3</v>
      </c>
      <c r="C21" s="12">
        <f t="shared" ref="C21:C25" si="21">B21*11.15/100</f>
        <v>34.932949999999998</v>
      </c>
      <c r="D21" s="12">
        <f t="shared" ref="D21:D25" si="22">B21-C21</f>
        <v>278.36705000000001</v>
      </c>
      <c r="E21">
        <f t="shared" ref="E21:E25" si="23">E13</f>
        <v>23.4</v>
      </c>
      <c r="F21" s="12">
        <f t="shared" ref="F21:F25" si="24">D21*E21/100</f>
        <v>65.137889700000002</v>
      </c>
      <c r="G21" s="12">
        <f t="shared" ref="G21:G25" si="25">D21-F21</f>
        <v>213.22916029999999</v>
      </c>
    </row>
    <row r="22" spans="1:13" x14ac:dyDescent="0.25">
      <c r="A22">
        <v>15</v>
      </c>
      <c r="B22" s="12">
        <f t="shared" si="20"/>
        <v>332.8</v>
      </c>
      <c r="C22" s="12">
        <f t="shared" si="21"/>
        <v>37.107200000000006</v>
      </c>
      <c r="D22" s="12">
        <f t="shared" si="22"/>
        <v>295.69280000000003</v>
      </c>
      <c r="E22">
        <f t="shared" si="23"/>
        <v>23.4</v>
      </c>
      <c r="F22" s="12">
        <f t="shared" si="24"/>
        <v>69.192115200000003</v>
      </c>
      <c r="G22" s="12">
        <f t="shared" si="25"/>
        <v>226.50068480000004</v>
      </c>
    </row>
    <row r="23" spans="1:13" ht="31.5" x14ac:dyDescent="0.5">
      <c r="A23">
        <v>21</v>
      </c>
      <c r="B23" s="12">
        <f t="shared" si="20"/>
        <v>351</v>
      </c>
      <c r="C23" s="12">
        <f t="shared" si="21"/>
        <v>39.136499999999998</v>
      </c>
      <c r="D23" s="12">
        <f t="shared" si="22"/>
        <v>311.86349999999999</v>
      </c>
      <c r="E23">
        <f t="shared" si="23"/>
        <v>23.4</v>
      </c>
      <c r="F23" s="12">
        <f t="shared" si="24"/>
        <v>72.976058999999992</v>
      </c>
      <c r="G23" s="12">
        <f t="shared" si="25"/>
        <v>238.887441</v>
      </c>
      <c r="I23" s="11" t="s">
        <v>25</v>
      </c>
    </row>
    <row r="24" spans="1:13" x14ac:dyDescent="0.25">
      <c r="A24">
        <v>28</v>
      </c>
      <c r="B24" s="12">
        <f t="shared" si="20"/>
        <v>364</v>
      </c>
      <c r="C24" s="12">
        <f t="shared" si="21"/>
        <v>40.585999999999999</v>
      </c>
      <c r="D24" s="12">
        <f t="shared" si="22"/>
        <v>323.41399999999999</v>
      </c>
      <c r="E24">
        <f t="shared" si="23"/>
        <v>23.4</v>
      </c>
      <c r="F24" s="12">
        <f t="shared" si="24"/>
        <v>75.678875999999988</v>
      </c>
      <c r="G24" s="12">
        <f t="shared" si="25"/>
        <v>247.73512399999998</v>
      </c>
    </row>
    <row r="25" spans="1:13" x14ac:dyDescent="0.25">
      <c r="A25">
        <v>35</v>
      </c>
      <c r="B25" s="12">
        <f t="shared" si="20"/>
        <v>374.40000000000003</v>
      </c>
      <c r="C25" s="12">
        <f t="shared" si="21"/>
        <v>41.745600000000003</v>
      </c>
      <c r="D25" s="12">
        <f t="shared" si="22"/>
        <v>332.65440000000001</v>
      </c>
      <c r="E25">
        <f t="shared" si="23"/>
        <v>23.4</v>
      </c>
      <c r="F25" s="12">
        <f t="shared" si="24"/>
        <v>77.841129599999988</v>
      </c>
      <c r="G25" s="12">
        <f t="shared" si="25"/>
        <v>254.81327040000002</v>
      </c>
    </row>
    <row r="26" spans="1:13" x14ac:dyDescent="0.25">
      <c r="I26">
        <f>IF(Foglio1!A3='ka01'!I23,1,0)</f>
        <v>0</v>
      </c>
      <c r="J26" s="12">
        <f>T8*I26</f>
        <v>0</v>
      </c>
      <c r="K26" s="12">
        <f>U8*I26</f>
        <v>0</v>
      </c>
    </row>
    <row r="27" spans="1:13" x14ac:dyDescent="0.25">
      <c r="B27">
        <v>2020</v>
      </c>
      <c r="C27" t="s">
        <v>15</v>
      </c>
      <c r="D27" t="s">
        <v>16</v>
      </c>
      <c r="E27" t="s">
        <v>17</v>
      </c>
      <c r="F27" t="s">
        <v>18</v>
      </c>
      <c r="G27" t="s">
        <v>8</v>
      </c>
      <c r="J27" s="12">
        <f>'KA05'!J26</f>
        <v>1314.6690249999997</v>
      </c>
      <c r="K27" s="12">
        <f>'KA05'!K26</f>
        <v>875.98991999999998</v>
      </c>
    </row>
    <row r="28" spans="1:13" x14ac:dyDescent="0.25">
      <c r="A28">
        <v>0</v>
      </c>
      <c r="B28" s="12">
        <f>D2*13</f>
        <v>637</v>
      </c>
      <c r="C28" s="12">
        <f>B28*11.15/100</f>
        <v>71.025500000000008</v>
      </c>
      <c r="D28" s="12">
        <f>B28-C28</f>
        <v>565.97450000000003</v>
      </c>
      <c r="E28">
        <f>E20</f>
        <v>23</v>
      </c>
      <c r="F28" s="12">
        <f>D28*E28/100</f>
        <v>130.17413500000001</v>
      </c>
      <c r="G28" s="12">
        <f>D28-F28</f>
        <v>435.80036500000006</v>
      </c>
      <c r="J28" s="12">
        <f>'KA08'!$J$26</f>
        <v>0</v>
      </c>
      <c r="K28" s="12">
        <f>'KA08'!$K$26</f>
        <v>0</v>
      </c>
    </row>
    <row r="29" spans="1:13" x14ac:dyDescent="0.25">
      <c r="A29">
        <v>9</v>
      </c>
      <c r="B29" s="12">
        <f t="shared" ref="B29:B33" si="26">D3*13</f>
        <v>689</v>
      </c>
      <c r="C29" s="12">
        <f t="shared" ref="C29:C33" si="27">B29*11.15/100</f>
        <v>76.82350000000001</v>
      </c>
      <c r="D29" s="12">
        <f t="shared" ref="D29:D33" si="28">B29-C29</f>
        <v>612.17650000000003</v>
      </c>
      <c r="E29">
        <f t="shared" ref="E29:E33" si="29">E21</f>
        <v>23.4</v>
      </c>
      <c r="F29" s="12">
        <f t="shared" ref="F29:F33" si="30">D29*E29/100</f>
        <v>143.249301</v>
      </c>
      <c r="G29" s="12">
        <f t="shared" ref="G29:G33" si="31">D29-F29</f>
        <v>468.92719900000003</v>
      </c>
      <c r="J29" s="12">
        <f>'KA07'!$J$26</f>
        <v>0</v>
      </c>
      <c r="K29" s="12">
        <f>'KA07'!$K$26</f>
        <v>0</v>
      </c>
    </row>
    <row r="30" spans="1:13" x14ac:dyDescent="0.25">
      <c r="A30">
        <v>15</v>
      </c>
      <c r="B30" s="12">
        <f t="shared" si="26"/>
        <v>728</v>
      </c>
      <c r="C30" s="12">
        <f t="shared" si="27"/>
        <v>81.171999999999997</v>
      </c>
      <c r="D30" s="12">
        <f t="shared" si="28"/>
        <v>646.82799999999997</v>
      </c>
      <c r="E30">
        <f t="shared" si="29"/>
        <v>23.4</v>
      </c>
      <c r="F30" s="12">
        <f t="shared" si="30"/>
        <v>151.35775199999998</v>
      </c>
      <c r="G30" s="12">
        <f t="shared" si="31"/>
        <v>495.47024799999997</v>
      </c>
    </row>
    <row r="31" spans="1:13" x14ac:dyDescent="0.25">
      <c r="A31">
        <v>21</v>
      </c>
      <c r="B31" s="12">
        <f t="shared" si="26"/>
        <v>780</v>
      </c>
      <c r="C31" s="12">
        <f t="shared" si="27"/>
        <v>86.97</v>
      </c>
      <c r="D31" s="12">
        <f t="shared" si="28"/>
        <v>693.03</v>
      </c>
      <c r="E31">
        <f t="shared" si="29"/>
        <v>23.4</v>
      </c>
      <c r="F31" s="12">
        <f t="shared" si="30"/>
        <v>162.16901999999999</v>
      </c>
      <c r="G31" s="12">
        <f t="shared" si="31"/>
        <v>530.86097999999993</v>
      </c>
    </row>
    <row r="32" spans="1:13" x14ac:dyDescent="0.25">
      <c r="A32">
        <v>28</v>
      </c>
      <c r="B32" s="12">
        <f t="shared" si="26"/>
        <v>806</v>
      </c>
      <c r="C32" s="12">
        <f t="shared" si="27"/>
        <v>89.869</v>
      </c>
      <c r="D32" s="12">
        <f t="shared" si="28"/>
        <v>716.13099999999997</v>
      </c>
      <c r="E32">
        <f t="shared" si="29"/>
        <v>23.4</v>
      </c>
      <c r="F32" s="12">
        <f t="shared" si="30"/>
        <v>167.57465399999998</v>
      </c>
      <c r="G32" s="12">
        <f t="shared" si="31"/>
        <v>548.55634599999996</v>
      </c>
      <c r="J32" s="12">
        <f>SUM(J26:J30)</f>
        <v>1314.6690249999997</v>
      </c>
      <c r="K32" s="12">
        <f>SUM(K26:K30)</f>
        <v>875.98991999999998</v>
      </c>
    </row>
    <row r="33" spans="1:7" x14ac:dyDescent="0.25">
      <c r="A33">
        <v>35</v>
      </c>
      <c r="B33" s="12">
        <f t="shared" si="26"/>
        <v>832</v>
      </c>
      <c r="C33" s="12">
        <f t="shared" si="27"/>
        <v>92.768000000000015</v>
      </c>
      <c r="D33" s="12">
        <f t="shared" si="28"/>
        <v>739.23199999999997</v>
      </c>
      <c r="E33">
        <f t="shared" si="29"/>
        <v>23.4</v>
      </c>
      <c r="F33" s="12">
        <f t="shared" si="30"/>
        <v>172.980288</v>
      </c>
      <c r="G33" s="12">
        <f t="shared" si="31"/>
        <v>566.251712</v>
      </c>
    </row>
    <row r="35" spans="1:7" x14ac:dyDescent="0.25">
      <c r="B35">
        <v>2021</v>
      </c>
      <c r="C35" t="s">
        <v>15</v>
      </c>
      <c r="D35" t="s">
        <v>16</v>
      </c>
      <c r="E35" t="s">
        <v>17</v>
      </c>
      <c r="F35" t="s">
        <v>18</v>
      </c>
      <c r="G35" t="s">
        <v>8</v>
      </c>
    </row>
    <row r="36" spans="1:7" x14ac:dyDescent="0.25">
      <c r="A36">
        <v>0</v>
      </c>
      <c r="B36" s="12">
        <f>B28</f>
        <v>637</v>
      </c>
      <c r="C36" s="12">
        <f>B36*11.15/100</f>
        <v>71.025500000000008</v>
      </c>
      <c r="D36" s="12">
        <f>B36-C36</f>
        <v>565.97450000000003</v>
      </c>
      <c r="E36">
        <v>25</v>
      </c>
      <c r="F36" s="12">
        <f>D36*E36/100</f>
        <v>141.49362500000001</v>
      </c>
      <c r="G36" s="12">
        <f>D36-F36+R2</f>
        <v>471.90457500000002</v>
      </c>
    </row>
    <row r="37" spans="1:7" x14ac:dyDescent="0.25">
      <c r="A37">
        <v>9</v>
      </c>
      <c r="B37" s="12">
        <f t="shared" ref="B37:B41" si="32">B29</f>
        <v>689</v>
      </c>
      <c r="C37" s="12">
        <f t="shared" ref="C37:C41" si="33">B37*11.15/100</f>
        <v>76.82350000000001</v>
      </c>
      <c r="D37" s="12">
        <f t="shared" ref="D37:D41" si="34">B37-C37</f>
        <v>612.17650000000003</v>
      </c>
      <c r="E37">
        <v>25</v>
      </c>
      <c r="F37" s="12">
        <f t="shared" ref="F37:F41" si="35">D37*E37/100</f>
        <v>153.04412500000001</v>
      </c>
      <c r="G37" s="12">
        <f t="shared" ref="G37:G41" si="36">D37-F37+R3</f>
        <v>506.55607500000002</v>
      </c>
    </row>
    <row r="38" spans="1:7" x14ac:dyDescent="0.25">
      <c r="A38">
        <v>15</v>
      </c>
      <c r="B38" s="12">
        <f t="shared" si="32"/>
        <v>728</v>
      </c>
      <c r="C38" s="12">
        <f t="shared" si="33"/>
        <v>81.171999999999997</v>
      </c>
      <c r="D38" s="12">
        <f t="shared" si="34"/>
        <v>646.82799999999997</v>
      </c>
      <c r="E38">
        <v>25</v>
      </c>
      <c r="F38" s="12">
        <f t="shared" si="35"/>
        <v>161.70699999999999</v>
      </c>
      <c r="G38" s="12">
        <f t="shared" si="36"/>
        <v>532.54469999999992</v>
      </c>
    </row>
    <row r="39" spans="1:7" x14ac:dyDescent="0.25">
      <c r="A39">
        <v>21</v>
      </c>
      <c r="B39" s="12">
        <f t="shared" si="32"/>
        <v>780</v>
      </c>
      <c r="C39" s="12">
        <f t="shared" si="33"/>
        <v>86.97</v>
      </c>
      <c r="D39" s="12">
        <f t="shared" si="34"/>
        <v>693.03</v>
      </c>
      <c r="E39">
        <v>25</v>
      </c>
      <c r="F39" s="12">
        <f t="shared" si="35"/>
        <v>173.25749999999999</v>
      </c>
      <c r="G39" s="12">
        <f t="shared" si="36"/>
        <v>567.19619999999998</v>
      </c>
    </row>
    <row r="40" spans="1:7" x14ac:dyDescent="0.25">
      <c r="A40">
        <v>28</v>
      </c>
      <c r="B40" s="12">
        <f t="shared" si="32"/>
        <v>806</v>
      </c>
      <c r="C40" s="12">
        <f t="shared" si="33"/>
        <v>89.869</v>
      </c>
      <c r="D40" s="12">
        <f t="shared" si="34"/>
        <v>716.13099999999997</v>
      </c>
      <c r="E40">
        <v>25</v>
      </c>
      <c r="F40" s="12">
        <f t="shared" si="35"/>
        <v>179.03274999999996</v>
      </c>
      <c r="G40" s="12">
        <f t="shared" si="36"/>
        <v>584.52194999999995</v>
      </c>
    </row>
    <row r="41" spans="1:7" x14ac:dyDescent="0.25">
      <c r="A41">
        <v>35</v>
      </c>
      <c r="B41" s="12">
        <f t="shared" si="32"/>
        <v>832</v>
      </c>
      <c r="C41" s="12">
        <f t="shared" si="33"/>
        <v>92.768000000000015</v>
      </c>
      <c r="D41" s="12">
        <f t="shared" si="34"/>
        <v>739.23199999999997</v>
      </c>
      <c r="E41">
        <v>25</v>
      </c>
      <c r="F41" s="12">
        <f t="shared" si="35"/>
        <v>184.80799999999999</v>
      </c>
      <c r="G41" s="12">
        <f t="shared" si="36"/>
        <v>601.84769999999992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24D4D-6906-473B-839E-5936FE799BCD}">
  <dimension ref="A1:U26"/>
  <sheetViews>
    <sheetView workbookViewId="0">
      <selection activeCell="T1" sqref="T1:U8"/>
    </sheetView>
  </sheetViews>
  <sheetFormatPr defaultRowHeight="15" x14ac:dyDescent="0.25"/>
  <cols>
    <col min="6" max="6" width="12" bestFit="1" customWidth="1"/>
    <col min="7" max="7" width="13.140625" bestFit="1" customWidth="1"/>
    <col min="10" max="11" width="11" bestFit="1" customWidth="1"/>
    <col min="14" max="14" width="11" bestFit="1" customWidth="1"/>
    <col min="16" max="16" width="9.42578125" bestFit="1" customWidth="1"/>
    <col min="19" max="19" width="11.7109375" bestFit="1" customWidth="1"/>
    <col min="20" max="21" width="11" bestFit="1" customWidth="1"/>
  </cols>
  <sheetData>
    <row r="1" spans="1:21" x14ac:dyDescent="0.25">
      <c r="B1" s="1">
        <v>2019</v>
      </c>
      <c r="C1" s="1">
        <v>2020</v>
      </c>
      <c r="D1" s="1">
        <v>2021</v>
      </c>
      <c r="E1" s="3">
        <v>2022</v>
      </c>
      <c r="F1" s="1" t="s">
        <v>2</v>
      </c>
      <c r="G1" s="3" t="s">
        <v>1</v>
      </c>
      <c r="H1" s="1" t="s">
        <v>3</v>
      </c>
      <c r="I1" s="3" t="s">
        <v>3</v>
      </c>
      <c r="J1" s="1" t="s">
        <v>4</v>
      </c>
      <c r="K1" s="3" t="s">
        <v>4</v>
      </c>
      <c r="L1" s="1" t="s">
        <v>5</v>
      </c>
      <c r="M1" s="3" t="s">
        <v>6</v>
      </c>
      <c r="N1" s="1" t="s">
        <v>5</v>
      </c>
      <c r="O1" s="3" t="s">
        <v>6</v>
      </c>
      <c r="P1" s="3" t="s">
        <v>11</v>
      </c>
      <c r="Q1" s="3" t="s">
        <v>4</v>
      </c>
      <c r="R1" s="3" t="s">
        <v>8</v>
      </c>
      <c r="S1" s="9" t="s">
        <v>9</v>
      </c>
      <c r="T1" s="3" t="s">
        <v>20</v>
      </c>
      <c r="U1" s="3" t="s">
        <v>6</v>
      </c>
    </row>
    <row r="2" spans="1:21" x14ac:dyDescent="0.25">
      <c r="A2" t="s">
        <v>10</v>
      </c>
      <c r="B2" s="2">
        <v>15.6</v>
      </c>
      <c r="C2" s="2">
        <v>28.7</v>
      </c>
      <c r="D2" s="2">
        <v>63</v>
      </c>
      <c r="E2" s="4">
        <v>63</v>
      </c>
      <c r="F2" s="2">
        <f>(B2+C2+D2)*13-7.05*3-11.75*33</f>
        <v>985.99999999999977</v>
      </c>
      <c r="G2" s="4">
        <f>E2*13-11.75*13</f>
        <v>666.25</v>
      </c>
      <c r="H2" s="2">
        <f t="shared" ref="H2:I4" si="0">F2*11.15%</f>
        <v>109.93899999999998</v>
      </c>
      <c r="I2" s="5">
        <f t="shared" si="0"/>
        <v>74.286874999999995</v>
      </c>
      <c r="J2" s="6">
        <f t="shared" ref="J2:K4" si="1">F2-H2</f>
        <v>876.06099999999981</v>
      </c>
      <c r="K2" s="5">
        <f t="shared" si="1"/>
        <v>591.96312499999999</v>
      </c>
      <c r="L2" s="1">
        <v>24</v>
      </c>
      <c r="M2" s="3">
        <v>25</v>
      </c>
      <c r="N2" s="7">
        <f t="shared" ref="N2:O4" si="2">J2*(100-L2)/100</f>
        <v>665.80635999999981</v>
      </c>
      <c r="O2" s="8">
        <f t="shared" si="2"/>
        <v>443.97234374999999</v>
      </c>
      <c r="P2" s="4">
        <f>10*12</f>
        <v>120</v>
      </c>
      <c r="Q2" s="5">
        <f>P2*(100-9.15)/100</f>
        <v>109.02</v>
      </c>
      <c r="R2" s="5">
        <f>Q2*(100-M2)/100</f>
        <v>81.765000000000001</v>
      </c>
      <c r="S2" s="10">
        <f>N2+O2+R2</f>
        <v>1191.5437037499998</v>
      </c>
      <c r="T2" s="14">
        <f>IF(Foglio1!$G$5=0,'KA05'!J2,0)</f>
        <v>0</v>
      </c>
      <c r="U2" s="14">
        <f>IF(Foglio1!$G$5=0,'KA05'!K2,0)</f>
        <v>0</v>
      </c>
    </row>
    <row r="3" spans="1:21" x14ac:dyDescent="0.25">
      <c r="A3">
        <v>9</v>
      </c>
      <c r="B3" s="2">
        <v>17.3</v>
      </c>
      <c r="C3" s="2">
        <v>31.9</v>
      </c>
      <c r="D3" s="2">
        <v>70</v>
      </c>
      <c r="E3" s="4">
        <f>D3</f>
        <v>70</v>
      </c>
      <c r="F3" s="2">
        <f>(B3+C3+D3)*13-7.82*3-13.03*33</f>
        <v>1096.1500000000001</v>
      </c>
      <c r="G3" s="4">
        <f>E3*13-13.03*13</f>
        <v>740.61</v>
      </c>
      <c r="H3" s="2">
        <f t="shared" si="0"/>
        <v>122.22072500000002</v>
      </c>
      <c r="I3" s="5">
        <f t="shared" si="0"/>
        <v>82.578015000000008</v>
      </c>
      <c r="J3" s="6">
        <f t="shared" si="1"/>
        <v>973.92927500000008</v>
      </c>
      <c r="K3" s="5">
        <f t="shared" si="1"/>
        <v>658.03198499999996</v>
      </c>
      <c r="L3" s="1">
        <v>24</v>
      </c>
      <c r="M3" s="3">
        <v>25</v>
      </c>
      <c r="N3" s="7">
        <f t="shared" si="2"/>
        <v>740.18624900000009</v>
      </c>
      <c r="O3" s="8">
        <f t="shared" si="2"/>
        <v>493.52398875</v>
      </c>
      <c r="P3" s="4">
        <f>10*12</f>
        <v>120</v>
      </c>
      <c r="Q3" s="5">
        <f>P3*(100-9.15)/100</f>
        <v>109.02</v>
      </c>
      <c r="R3" s="5">
        <f>Q3*(100-M3)/100</f>
        <v>81.765000000000001</v>
      </c>
      <c r="S3" s="10">
        <f>N3+O3+R3</f>
        <v>1315.4752377500001</v>
      </c>
      <c r="T3" s="14">
        <f>IF(Foglio1!$G$5=9,'KA05'!J3,0)</f>
        <v>0</v>
      </c>
      <c r="U3" s="14">
        <f>IF(Foglio1!$G$5=9,'KA05'!K3,0)</f>
        <v>0</v>
      </c>
    </row>
    <row r="4" spans="1:21" x14ac:dyDescent="0.25">
      <c r="A4">
        <v>15</v>
      </c>
      <c r="B4" s="2">
        <v>18.8</v>
      </c>
      <c r="C4" s="2">
        <v>34.6</v>
      </c>
      <c r="D4" s="2">
        <v>77</v>
      </c>
      <c r="E4" s="4">
        <f>D4</f>
        <v>77</v>
      </c>
      <c r="F4" s="2">
        <f>(B4+C4+D4)*13-8.5*3-14.16*33</f>
        <v>1202.42</v>
      </c>
      <c r="G4" s="4">
        <f>E4*13-14.16*13</f>
        <v>816.92</v>
      </c>
      <c r="H4" s="2">
        <f t="shared" si="0"/>
        <v>134.06983000000002</v>
      </c>
      <c r="I4" s="5">
        <f t="shared" si="0"/>
        <v>91.086579999999998</v>
      </c>
      <c r="J4" s="6">
        <f t="shared" si="1"/>
        <v>1068.3501700000002</v>
      </c>
      <c r="K4" s="5">
        <f t="shared" si="1"/>
        <v>725.83341999999993</v>
      </c>
      <c r="L4" s="1">
        <v>24</v>
      </c>
      <c r="M4" s="3">
        <v>25</v>
      </c>
      <c r="N4" s="7">
        <f t="shared" si="2"/>
        <v>811.94612920000009</v>
      </c>
      <c r="O4" s="8">
        <f t="shared" si="2"/>
        <v>544.37506499999995</v>
      </c>
      <c r="P4" s="4">
        <f>12*12</f>
        <v>144</v>
      </c>
      <c r="Q4" s="5">
        <f>P4*(100-9.15)/100</f>
        <v>130.82399999999998</v>
      </c>
      <c r="R4" s="5">
        <f>Q4*(100-M4)/100</f>
        <v>98.117999999999995</v>
      </c>
      <c r="S4" s="10">
        <f>N4+O4+R4</f>
        <v>1454.4391942</v>
      </c>
      <c r="T4" s="14">
        <f>IF(Foglio1!$G$5=15,'KA05'!J4,0)</f>
        <v>0</v>
      </c>
      <c r="U4" s="14">
        <f>IF(Foglio1!$G$5=15,'KA05'!K4,0)</f>
        <v>0</v>
      </c>
    </row>
    <row r="5" spans="1:21" x14ac:dyDescent="0.25">
      <c r="A5">
        <v>21</v>
      </c>
      <c r="B5" s="2">
        <v>20.3</v>
      </c>
      <c r="C5" s="2">
        <v>37.299999999999997</v>
      </c>
      <c r="D5" s="2">
        <v>83</v>
      </c>
      <c r="E5" s="4">
        <f t="shared" ref="E5:E6" si="3">D5</f>
        <v>83</v>
      </c>
      <c r="F5" s="2">
        <f>(B5+C5+D5)*13-9.16*3-15.27*33</f>
        <v>1296.4099999999999</v>
      </c>
      <c r="G5" s="4">
        <f>E5*13-15.27*13</f>
        <v>880.49</v>
      </c>
      <c r="H5" s="2">
        <f t="shared" ref="H5:H6" si="4">F5*11.15%</f>
        <v>144.54971499999999</v>
      </c>
      <c r="I5" s="5">
        <f t="shared" ref="I5:I6" si="5">G5*11.15%</f>
        <v>98.174635000000009</v>
      </c>
      <c r="J5" s="6">
        <f t="shared" ref="J5:J6" si="6">F5-H5</f>
        <v>1151.8602849999997</v>
      </c>
      <c r="K5" s="5">
        <f t="shared" ref="K5:K6" si="7">G5-I5</f>
        <v>782.31536500000004</v>
      </c>
      <c r="L5" s="1">
        <v>24</v>
      </c>
      <c r="M5" s="3">
        <v>25</v>
      </c>
      <c r="N5" s="7">
        <f t="shared" ref="N5:N6" si="8">J5*(100-L5)/100</f>
        <v>875.41381659999979</v>
      </c>
      <c r="O5" s="8">
        <f t="shared" ref="O5:O6" si="9">K5*(100-M5)/100</f>
        <v>586.73652375000006</v>
      </c>
      <c r="P5" s="4">
        <f t="shared" ref="P5" si="10">12*12</f>
        <v>144</v>
      </c>
      <c r="Q5" s="5">
        <f t="shared" ref="Q5:Q6" si="11">P5*(100-9.15)/100</f>
        <v>130.82399999999998</v>
      </c>
      <c r="R5" s="5">
        <f t="shared" ref="R5:R6" si="12">Q5*(100-M5)/100</f>
        <v>98.117999999999995</v>
      </c>
      <c r="S5" s="10">
        <f t="shared" ref="S5:S6" si="13">N5+O5+R5</f>
        <v>1560.2683403499998</v>
      </c>
      <c r="T5" s="14">
        <f>IF(Foglio1!$G$5=21,'KA05'!J5,0)</f>
        <v>0</v>
      </c>
      <c r="U5" s="14">
        <f>IF(Foglio1!$G$5=21,'KA05'!K5,0)</f>
        <v>0</v>
      </c>
    </row>
    <row r="6" spans="1:21" x14ac:dyDescent="0.25">
      <c r="A6">
        <v>28</v>
      </c>
      <c r="B6" s="2">
        <v>21.7</v>
      </c>
      <c r="C6" s="2">
        <v>40</v>
      </c>
      <c r="D6" s="2">
        <v>89</v>
      </c>
      <c r="E6" s="4">
        <f t="shared" si="3"/>
        <v>89</v>
      </c>
      <c r="F6" s="2">
        <f>(B6+C6+D6)*13-9.81*3-16.35*33</f>
        <v>1390.12</v>
      </c>
      <c r="G6" s="4">
        <f>E6*13-15.35*13</f>
        <v>957.45</v>
      </c>
      <c r="H6" s="2">
        <f t="shared" si="4"/>
        <v>154.99838</v>
      </c>
      <c r="I6" s="5">
        <f t="shared" si="5"/>
        <v>106.75567500000001</v>
      </c>
      <c r="J6" s="6">
        <f t="shared" si="6"/>
        <v>1235.1216199999999</v>
      </c>
      <c r="K6" s="5">
        <f t="shared" si="7"/>
        <v>850.69432500000005</v>
      </c>
      <c r="L6" s="1">
        <v>25.18</v>
      </c>
      <c r="M6" s="3">
        <v>35</v>
      </c>
      <c r="N6" s="7">
        <f t="shared" si="8"/>
        <v>924.11799608399986</v>
      </c>
      <c r="O6" s="8">
        <f t="shared" si="9"/>
        <v>552.95131125</v>
      </c>
      <c r="P6" s="4">
        <f>15*12</f>
        <v>180</v>
      </c>
      <c r="Q6" s="5">
        <f t="shared" si="11"/>
        <v>163.52999999999997</v>
      </c>
      <c r="R6" s="5">
        <f t="shared" si="12"/>
        <v>106.29449999999999</v>
      </c>
      <c r="S6" s="10">
        <f t="shared" si="13"/>
        <v>1583.3638073339998</v>
      </c>
      <c r="T6" s="14">
        <f>IF(Foglio1!$G$5=28,'KA05'!J6,0)</f>
        <v>0</v>
      </c>
      <c r="U6" s="14">
        <f>IF(Foglio1!$G$5=28,'KA05'!K6,0)</f>
        <v>0</v>
      </c>
    </row>
    <row r="7" spans="1:21" x14ac:dyDescent="0.25">
      <c r="A7">
        <v>35</v>
      </c>
      <c r="B7" s="2">
        <v>22.8</v>
      </c>
      <c r="C7" s="2">
        <v>41.9</v>
      </c>
      <c r="D7" s="2">
        <v>93</v>
      </c>
      <c r="E7" s="4">
        <f>D7</f>
        <v>93</v>
      </c>
      <c r="F7" s="2">
        <f>(B7+C7+D7)*13-10.3*3-16.35*33</f>
        <v>1479.6499999999996</v>
      </c>
      <c r="G7" s="4">
        <f>E7*13-17.16*13</f>
        <v>985.92</v>
      </c>
      <c r="H7" s="2">
        <f t="shared" ref="H7" si="14">F7*11.15%</f>
        <v>164.98097499999997</v>
      </c>
      <c r="I7" s="5">
        <f t="shared" ref="I7" si="15">G7*11.15%</f>
        <v>109.93008</v>
      </c>
      <c r="J7" s="6">
        <f t="shared" ref="J7" si="16">F7-H7</f>
        <v>1314.6690249999997</v>
      </c>
      <c r="K7" s="5">
        <f t="shared" ref="K7" si="17">G7-I7</f>
        <v>875.98991999999998</v>
      </c>
      <c r="L7" s="1">
        <v>25.18</v>
      </c>
      <c r="M7" s="3">
        <v>35</v>
      </c>
      <c r="N7" s="7">
        <f t="shared" ref="N7" si="18">J7*(100-L7)/100</f>
        <v>983.63536450499976</v>
      </c>
      <c r="O7" s="8">
        <f t="shared" ref="O7" si="19">K7*(100-M7)/100</f>
        <v>569.39344800000003</v>
      </c>
      <c r="P7" s="4">
        <f>15*12</f>
        <v>180</v>
      </c>
      <c r="Q7" s="5">
        <f>P7*(100-9.15)/100</f>
        <v>163.52999999999997</v>
      </c>
      <c r="R7" s="5">
        <f>Q7*(100-M7)/100</f>
        <v>106.29449999999999</v>
      </c>
      <c r="S7" s="10">
        <f>N7+O7+R7</f>
        <v>1659.3233125049996</v>
      </c>
      <c r="T7" s="14">
        <f>IF(Foglio1!$G$5=35,'KA05'!J7,0)</f>
        <v>1314.6690249999997</v>
      </c>
      <c r="U7" s="14">
        <f>IF(Foglio1!$G$5=35,'KA05'!K7,0)</f>
        <v>875.98991999999998</v>
      </c>
    </row>
    <row r="8" spans="1:21" x14ac:dyDescent="0.25">
      <c r="T8" s="12">
        <f>SUM(T2:T7)</f>
        <v>1314.6690249999997</v>
      </c>
      <c r="U8" s="12">
        <f>SUM(U2:U7)</f>
        <v>875.98991999999998</v>
      </c>
    </row>
    <row r="23" spans="9:11" ht="31.5" x14ac:dyDescent="0.5">
      <c r="I23" s="11" t="s">
        <v>26</v>
      </c>
    </row>
    <row r="26" spans="9:11" x14ac:dyDescent="0.25">
      <c r="I26">
        <f>IF(Foglio1!A3='KA05'!I23,1,0)</f>
        <v>1</v>
      </c>
      <c r="J26" s="12">
        <f>T8*I26</f>
        <v>1314.6690249999997</v>
      </c>
      <c r="K26" s="12">
        <f>U8*I26</f>
        <v>875.98991999999998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CA3AE-35FA-4058-8BDB-05A47F73671C}">
  <dimension ref="A1:U26"/>
  <sheetViews>
    <sheetView workbookViewId="0">
      <selection activeCell="J30" sqref="J30"/>
    </sheetView>
  </sheetViews>
  <sheetFormatPr defaultRowHeight="15" x14ac:dyDescent="0.25"/>
  <cols>
    <col min="5" max="5" width="9.42578125" bestFit="1" customWidth="1"/>
    <col min="6" max="6" width="12" bestFit="1" customWidth="1"/>
    <col min="7" max="7" width="11" bestFit="1" customWidth="1"/>
    <col min="10" max="11" width="11" bestFit="1" customWidth="1"/>
    <col min="14" max="14" width="11" bestFit="1" customWidth="1"/>
    <col min="16" max="16" width="9.42578125" bestFit="1" customWidth="1"/>
    <col min="19" max="19" width="11.7109375" bestFit="1" customWidth="1"/>
    <col min="20" max="20" width="11" bestFit="1" customWidth="1"/>
    <col min="21" max="21" width="9.42578125" bestFit="1" customWidth="1"/>
  </cols>
  <sheetData>
    <row r="1" spans="1:21" x14ac:dyDescent="0.25">
      <c r="B1" s="1">
        <v>2019</v>
      </c>
      <c r="C1" s="1">
        <v>2020</v>
      </c>
      <c r="D1" s="1">
        <v>2021</v>
      </c>
      <c r="E1" s="3">
        <v>2022</v>
      </c>
      <c r="F1" s="1" t="s">
        <v>2</v>
      </c>
      <c r="G1" s="3" t="s">
        <v>1</v>
      </c>
      <c r="H1" s="1" t="s">
        <v>3</v>
      </c>
      <c r="I1" s="3" t="s">
        <v>3</v>
      </c>
      <c r="J1" s="1" t="s">
        <v>4</v>
      </c>
      <c r="K1" s="3" t="s">
        <v>4</v>
      </c>
      <c r="L1" s="1" t="s">
        <v>5</v>
      </c>
      <c r="M1" s="3" t="s">
        <v>6</v>
      </c>
      <c r="N1" s="1" t="s">
        <v>5</v>
      </c>
      <c r="O1" s="3" t="s">
        <v>6</v>
      </c>
      <c r="P1" s="3" t="s">
        <v>11</v>
      </c>
      <c r="Q1" s="3" t="s">
        <v>4</v>
      </c>
      <c r="R1" s="3" t="s">
        <v>8</v>
      </c>
      <c r="S1" s="9" t="s">
        <v>9</v>
      </c>
      <c r="T1" s="3" t="s">
        <v>20</v>
      </c>
      <c r="U1" s="3" t="s">
        <v>6</v>
      </c>
    </row>
    <row r="2" spans="1:21" x14ac:dyDescent="0.25">
      <c r="A2" t="s">
        <v>12</v>
      </c>
      <c r="B2" s="2">
        <v>16.899999999999999</v>
      </c>
      <c r="C2" s="2">
        <v>31.1</v>
      </c>
      <c r="D2" s="2">
        <v>69</v>
      </c>
      <c r="E2" s="4">
        <f>D2</f>
        <v>69</v>
      </c>
      <c r="F2" s="2">
        <f>(B2+C2+D2)*13-7.65*3-12.75*33</f>
        <v>1077.3</v>
      </c>
      <c r="G2" s="4">
        <f>E2*13-12.75*13</f>
        <v>731.25</v>
      </c>
      <c r="H2" s="2">
        <f t="shared" ref="H2:I4" si="0">F2*11.15%</f>
        <v>120.11895</v>
      </c>
      <c r="I2" s="5">
        <f t="shared" si="0"/>
        <v>81.534374999999997</v>
      </c>
      <c r="J2" s="6">
        <f t="shared" ref="J2:K4" si="1">F2-H2</f>
        <v>957.18104999999991</v>
      </c>
      <c r="K2" s="5">
        <f t="shared" si="1"/>
        <v>649.71562500000005</v>
      </c>
      <c r="L2" s="1">
        <v>24</v>
      </c>
      <c r="M2" s="3">
        <v>25</v>
      </c>
      <c r="N2" s="7">
        <f t="shared" ref="N2:O4" si="2">J2*(100-L2)/100</f>
        <v>727.45759799999996</v>
      </c>
      <c r="O2" s="8">
        <f t="shared" si="2"/>
        <v>487.28671874999998</v>
      </c>
      <c r="P2" s="4">
        <f>10*12</f>
        <v>120</v>
      </c>
      <c r="Q2" s="5">
        <f>P2*(100-9.15)/100</f>
        <v>109.02</v>
      </c>
      <c r="R2" s="5">
        <f>Q2*(100-M2)/100</f>
        <v>81.765000000000001</v>
      </c>
      <c r="S2" s="10">
        <f>N2+O2+R2</f>
        <v>1296.5093167500002</v>
      </c>
      <c r="T2" s="14">
        <f>IF(Foglio1!$G$5=0,'KA07'!J2,0)</f>
        <v>0</v>
      </c>
      <c r="U2" s="14">
        <f>IF(Foglio1!$G$5=0,'KA07'!K2,0)</f>
        <v>0</v>
      </c>
    </row>
    <row r="3" spans="1:21" x14ac:dyDescent="0.25">
      <c r="A3">
        <v>9</v>
      </c>
      <c r="B3" s="2">
        <v>18.899999999999999</v>
      </c>
      <c r="C3" s="2">
        <v>34.799999999999997</v>
      </c>
      <c r="D3" s="2">
        <v>77</v>
      </c>
      <c r="E3" s="4">
        <f>D3</f>
        <v>77</v>
      </c>
      <c r="F3" s="2">
        <f>(B3+C3+D3)*13-8.55*3-14.24*33</f>
        <v>1203.5299999999997</v>
      </c>
      <c r="G3" s="4">
        <f>E3*13-14.24*13</f>
        <v>815.88</v>
      </c>
      <c r="H3" s="2">
        <f t="shared" si="0"/>
        <v>134.19359499999999</v>
      </c>
      <c r="I3" s="5">
        <f t="shared" si="0"/>
        <v>90.970619999999997</v>
      </c>
      <c r="J3" s="6">
        <f t="shared" si="1"/>
        <v>1069.3364049999998</v>
      </c>
      <c r="K3" s="5">
        <f t="shared" si="1"/>
        <v>724.90938000000006</v>
      </c>
      <c r="L3" s="1">
        <v>24</v>
      </c>
      <c r="M3" s="3">
        <v>25</v>
      </c>
      <c r="N3" s="7">
        <f t="shared" si="2"/>
        <v>812.6956677999998</v>
      </c>
      <c r="O3" s="8">
        <f t="shared" si="2"/>
        <v>543.68203500000004</v>
      </c>
      <c r="P3" s="4">
        <f>10*12</f>
        <v>120</v>
      </c>
      <c r="Q3" s="5">
        <f>P3*(100-9.15)/100</f>
        <v>109.02</v>
      </c>
      <c r="R3" s="5">
        <f>Q3*(100-M3)/100</f>
        <v>81.765000000000001</v>
      </c>
      <c r="S3" s="10">
        <f>N3+O3+R3</f>
        <v>1438.1427028000001</v>
      </c>
      <c r="T3" s="14">
        <f>IF(Foglio1!$G$5=9,'KA07'!J3,0)</f>
        <v>0</v>
      </c>
      <c r="U3" s="14">
        <f>IF(Foglio1!$G$5=9,'KA07'!K3,0)</f>
        <v>0</v>
      </c>
    </row>
    <row r="4" spans="1:21" x14ac:dyDescent="0.25">
      <c r="A4">
        <v>15</v>
      </c>
      <c r="B4" s="2">
        <v>20.6</v>
      </c>
      <c r="C4" s="2">
        <v>38</v>
      </c>
      <c r="D4" s="2">
        <v>77</v>
      </c>
      <c r="E4" s="4">
        <v>84</v>
      </c>
      <c r="F4" s="2">
        <f>(B4+C4+D4)*13-9.33*3-15.56*33</f>
        <v>1221.33</v>
      </c>
      <c r="G4" s="4">
        <f>E4*13-15.56*13</f>
        <v>889.72</v>
      </c>
      <c r="H4" s="2">
        <f t="shared" si="0"/>
        <v>136.17829499999999</v>
      </c>
      <c r="I4" s="5">
        <f t="shared" si="0"/>
        <v>99.203780000000009</v>
      </c>
      <c r="J4" s="6">
        <f t="shared" si="1"/>
        <v>1085.151705</v>
      </c>
      <c r="K4" s="5">
        <f t="shared" si="1"/>
        <v>790.51621999999998</v>
      </c>
      <c r="L4" s="1">
        <v>24</v>
      </c>
      <c r="M4" s="3">
        <v>25</v>
      </c>
      <c r="N4" s="7">
        <f t="shared" si="2"/>
        <v>824.71529580000004</v>
      </c>
      <c r="O4" s="8">
        <f t="shared" si="2"/>
        <v>592.88716499999998</v>
      </c>
      <c r="P4" s="4">
        <f>12*12</f>
        <v>144</v>
      </c>
      <c r="Q4" s="5">
        <f>P4*(100-9.15)/100</f>
        <v>130.82399999999998</v>
      </c>
      <c r="R4" s="5">
        <f>Q4*(100-M4)/100</f>
        <v>98.117999999999995</v>
      </c>
      <c r="S4" s="10">
        <f>N4+O4+R4</f>
        <v>1515.7204608</v>
      </c>
      <c r="T4" s="14">
        <f>IF(Foglio1!$G$5=15,'KA07'!J4,0)</f>
        <v>0</v>
      </c>
      <c r="U4" s="14">
        <f>IF(Foglio1!$G$5=15,'KA07'!K4,0)</f>
        <v>0</v>
      </c>
    </row>
    <row r="5" spans="1:21" x14ac:dyDescent="0.25">
      <c r="A5">
        <v>21</v>
      </c>
      <c r="B5" s="2">
        <v>22.3</v>
      </c>
      <c r="C5" s="2">
        <v>41.1</v>
      </c>
      <c r="D5" s="2">
        <v>77</v>
      </c>
      <c r="E5" s="4">
        <v>91</v>
      </c>
      <c r="F5" s="2">
        <f>(B5+C5+D5)*13-10.1*3-16.83*33</f>
        <v>1239.5100000000002</v>
      </c>
      <c r="G5" s="4">
        <f>E5*13-16.83*13</f>
        <v>964.21</v>
      </c>
      <c r="H5" s="2">
        <f t="shared" ref="H5:H7" si="3">F5*11.15%</f>
        <v>138.20536500000003</v>
      </c>
      <c r="I5" s="5">
        <f t="shared" ref="I5:I7" si="4">G5*11.15%</f>
        <v>107.509415</v>
      </c>
      <c r="J5" s="6">
        <f t="shared" ref="J5:J7" si="5">F5-H5</f>
        <v>1101.3046350000002</v>
      </c>
      <c r="K5" s="5">
        <f t="shared" ref="K5:K7" si="6">G5-I5</f>
        <v>856.70058500000005</v>
      </c>
      <c r="L5" s="1">
        <v>24.5</v>
      </c>
      <c r="M5" s="3">
        <v>25</v>
      </c>
      <c r="N5" s="7">
        <f t="shared" ref="N5:N7" si="7">J5*(100-L5)/100</f>
        <v>831.48499942500018</v>
      </c>
      <c r="O5" s="8">
        <f t="shared" ref="O5:O7" si="8">K5*(100-M5)/100</f>
        <v>642.52543875000003</v>
      </c>
      <c r="P5" s="4">
        <f t="shared" ref="P5" si="9">12*12</f>
        <v>144</v>
      </c>
      <c r="Q5" s="5">
        <f t="shared" ref="Q5:Q7" si="10">P5*(100-9.15)/100</f>
        <v>130.82399999999998</v>
      </c>
      <c r="R5" s="5">
        <f t="shared" ref="R5:R7" si="11">Q5*(100-M5)/100</f>
        <v>98.117999999999995</v>
      </c>
      <c r="S5" s="10">
        <f t="shared" ref="S5:S7" si="12">N5+O5+R5</f>
        <v>1572.1284381750002</v>
      </c>
      <c r="T5" s="14">
        <f>IF(Foglio1!$G$5=21,'KA07'!J5,0)</f>
        <v>0</v>
      </c>
      <c r="U5" s="14">
        <f>IF(Foglio1!$G$5=21,'KA07'!K5,0)</f>
        <v>0</v>
      </c>
    </row>
    <row r="6" spans="1:21" x14ac:dyDescent="0.25">
      <c r="A6">
        <v>28</v>
      </c>
      <c r="B6" s="2">
        <v>24</v>
      </c>
      <c r="C6" s="2">
        <v>44.2</v>
      </c>
      <c r="D6" s="2">
        <v>77</v>
      </c>
      <c r="E6" s="4">
        <v>98</v>
      </c>
      <c r="F6" s="2">
        <f>(B6+C6+D6)*13-10.85*3-18.09*33</f>
        <v>1258.08</v>
      </c>
      <c r="G6" s="4">
        <f>E6*13-18.09*13</f>
        <v>1038.83</v>
      </c>
      <c r="H6" s="2">
        <f t="shared" si="3"/>
        <v>140.27591999999999</v>
      </c>
      <c r="I6" s="5">
        <f t="shared" si="4"/>
        <v>115.829545</v>
      </c>
      <c r="J6" s="6">
        <f t="shared" si="5"/>
        <v>1117.8040799999999</v>
      </c>
      <c r="K6" s="5">
        <f t="shared" si="6"/>
        <v>923.00045499999987</v>
      </c>
      <c r="L6" s="1">
        <v>25.18</v>
      </c>
      <c r="M6" s="3">
        <v>35</v>
      </c>
      <c r="N6" s="7">
        <f t="shared" si="7"/>
        <v>836.34101265599975</v>
      </c>
      <c r="O6" s="8">
        <f t="shared" si="8"/>
        <v>599.9502957499999</v>
      </c>
      <c r="P6" s="4">
        <f>15*12</f>
        <v>180</v>
      </c>
      <c r="Q6" s="5">
        <f t="shared" si="10"/>
        <v>163.52999999999997</v>
      </c>
      <c r="R6" s="5">
        <f t="shared" si="11"/>
        <v>106.29449999999999</v>
      </c>
      <c r="S6" s="10">
        <f t="shared" si="12"/>
        <v>1542.5858084059996</v>
      </c>
      <c r="T6" s="14">
        <f>IF(Foglio1!$G$5=28,'KA07'!J6,0)</f>
        <v>0</v>
      </c>
      <c r="U6" s="14">
        <f>IF(Foglio1!$G$5=28,'KA07'!K6,0)</f>
        <v>0</v>
      </c>
    </row>
    <row r="7" spans="1:21" x14ac:dyDescent="0.25">
      <c r="A7">
        <v>35</v>
      </c>
      <c r="B7" s="2">
        <v>25.2</v>
      </c>
      <c r="C7" s="2">
        <v>46.5</v>
      </c>
      <c r="D7" s="2">
        <v>77</v>
      </c>
      <c r="E7" s="4">
        <v>103</v>
      </c>
      <c r="F7" s="2">
        <f>(B7+C7+D7)*13-11.41*3-19.02*33</f>
        <v>1271.21</v>
      </c>
      <c r="G7" s="4">
        <f>E7*13-19.02*13</f>
        <v>1091.74</v>
      </c>
      <c r="H7" s="2">
        <f t="shared" si="3"/>
        <v>141.739915</v>
      </c>
      <c r="I7" s="5">
        <f t="shared" si="4"/>
        <v>121.72901</v>
      </c>
      <c r="J7" s="6">
        <f t="shared" si="5"/>
        <v>1129.4700849999999</v>
      </c>
      <c r="K7" s="5">
        <f t="shared" si="6"/>
        <v>970.01098999999999</v>
      </c>
      <c r="L7" s="1">
        <v>25.18</v>
      </c>
      <c r="M7" s="3">
        <v>35</v>
      </c>
      <c r="N7" s="7">
        <f t="shared" si="7"/>
        <v>845.06951759699996</v>
      </c>
      <c r="O7" s="8">
        <f t="shared" si="8"/>
        <v>630.50714349999998</v>
      </c>
      <c r="P7" s="4">
        <f>15*12</f>
        <v>180</v>
      </c>
      <c r="Q7" s="5">
        <f t="shared" si="10"/>
        <v>163.52999999999997</v>
      </c>
      <c r="R7" s="5">
        <f t="shared" si="11"/>
        <v>106.29449999999999</v>
      </c>
      <c r="S7" s="10">
        <f t="shared" si="12"/>
        <v>1581.8711610969999</v>
      </c>
      <c r="T7" s="14">
        <f>IF(Foglio1!$G$5=35,'KA07'!J7,0)</f>
        <v>1129.4700849999999</v>
      </c>
      <c r="U7" s="14">
        <f>IF(Foglio1!$G$5=35,'KA07'!K7,0)</f>
        <v>970.01098999999999</v>
      </c>
    </row>
    <row r="8" spans="1:21" x14ac:dyDescent="0.25">
      <c r="T8" s="12">
        <f>SUM(T2:T7)</f>
        <v>1129.4700849999999</v>
      </c>
      <c r="U8" s="12">
        <f>SUM(U2:U7)</f>
        <v>970.01098999999999</v>
      </c>
    </row>
    <row r="23" spans="9:11" ht="31.5" x14ac:dyDescent="0.5">
      <c r="I23" s="11" t="s">
        <v>29</v>
      </c>
    </row>
    <row r="26" spans="9:11" x14ac:dyDescent="0.25">
      <c r="I26">
        <f>IF(Foglio1!A3='KA07'!I23,1,0)</f>
        <v>0</v>
      </c>
      <c r="J26" s="12">
        <f>T8*I26</f>
        <v>0</v>
      </c>
      <c r="K26" s="12">
        <f>U8*I26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E5109-0CD3-4297-AEDF-742E8B753F26}">
  <dimension ref="A1:U26"/>
  <sheetViews>
    <sheetView workbookViewId="0">
      <selection activeCell="K30" sqref="K30"/>
    </sheetView>
  </sheetViews>
  <sheetFormatPr defaultRowHeight="15" x14ac:dyDescent="0.25"/>
  <cols>
    <col min="4" max="4" width="9.42578125" bestFit="1" customWidth="1"/>
    <col min="6" max="7" width="11" bestFit="1" customWidth="1"/>
    <col min="10" max="11" width="11" bestFit="1" customWidth="1"/>
    <col min="14" max="14" width="11" bestFit="1" customWidth="1"/>
    <col min="16" max="16" width="9.42578125" bestFit="1" customWidth="1"/>
    <col min="19" max="19" width="11.7109375" bestFit="1" customWidth="1"/>
    <col min="20" max="20" width="11" bestFit="1" customWidth="1"/>
    <col min="21" max="21" width="9.42578125" bestFit="1" customWidth="1"/>
  </cols>
  <sheetData>
    <row r="1" spans="1:21" x14ac:dyDescent="0.25">
      <c r="B1" s="1">
        <v>2019</v>
      </c>
      <c r="C1" s="1">
        <v>2020</v>
      </c>
      <c r="D1" s="1">
        <v>2021</v>
      </c>
      <c r="E1" s="3">
        <v>2022</v>
      </c>
      <c r="F1" s="1" t="s">
        <v>2</v>
      </c>
      <c r="G1" s="3" t="s">
        <v>1</v>
      </c>
      <c r="H1" s="1" t="s">
        <v>3</v>
      </c>
      <c r="I1" s="3" t="s">
        <v>3</v>
      </c>
      <c r="J1" s="1" t="s">
        <v>4</v>
      </c>
      <c r="K1" s="3" t="s">
        <v>4</v>
      </c>
      <c r="L1" s="1" t="s">
        <v>5</v>
      </c>
      <c r="M1" s="3" t="s">
        <v>6</v>
      </c>
      <c r="N1" s="1" t="s">
        <v>5</v>
      </c>
      <c r="O1" s="3" t="s">
        <v>6</v>
      </c>
      <c r="P1" s="3" t="s">
        <v>11</v>
      </c>
      <c r="Q1" s="3" t="s">
        <v>4</v>
      </c>
      <c r="R1" s="3" t="s">
        <v>8</v>
      </c>
      <c r="S1" s="9" t="s">
        <v>9</v>
      </c>
      <c r="T1" s="3" t="s">
        <v>20</v>
      </c>
      <c r="U1" s="3" t="s">
        <v>6</v>
      </c>
    </row>
    <row r="2" spans="1:21" x14ac:dyDescent="0.25">
      <c r="A2" t="s">
        <v>13</v>
      </c>
      <c r="B2" s="2">
        <v>16.899999999999999</v>
      </c>
      <c r="C2" s="2">
        <v>31.1</v>
      </c>
      <c r="D2" s="2">
        <v>69</v>
      </c>
      <c r="E2" s="4">
        <f>D2</f>
        <v>69</v>
      </c>
      <c r="F2" s="2">
        <f>(B2+C2+D2)*13-7.65*3-12.75*33</f>
        <v>1077.3</v>
      </c>
      <c r="G2" s="4">
        <f>E2*13-12.75*13</f>
        <v>731.25</v>
      </c>
      <c r="H2" s="2">
        <f t="shared" ref="H2:I7" si="0">F2*11.15%</f>
        <v>120.11895</v>
      </c>
      <c r="I2" s="5">
        <f t="shared" si="0"/>
        <v>81.534374999999997</v>
      </c>
      <c r="J2" s="6">
        <f t="shared" ref="J2:K7" si="1">F2-H2</f>
        <v>957.18104999999991</v>
      </c>
      <c r="K2" s="5">
        <f t="shared" si="1"/>
        <v>649.71562500000005</v>
      </c>
      <c r="L2" s="1">
        <v>24</v>
      </c>
      <c r="M2" s="3">
        <v>25</v>
      </c>
      <c r="N2" s="7">
        <f t="shared" ref="N2:O7" si="2">J2*(100-L2)/100</f>
        <v>727.45759799999996</v>
      </c>
      <c r="O2" s="8">
        <f t="shared" si="2"/>
        <v>487.28671874999998</v>
      </c>
      <c r="P2" s="4">
        <f>10*12</f>
        <v>120</v>
      </c>
      <c r="Q2" s="5">
        <f>P2*(100-9.15)/100</f>
        <v>109.02</v>
      </c>
      <c r="R2" s="5">
        <f>Q2*(100-M2)/100</f>
        <v>81.765000000000001</v>
      </c>
      <c r="S2" s="10">
        <f>N2+O2+R2</f>
        <v>1296.5093167500002</v>
      </c>
      <c r="T2" s="14">
        <f>IF(Foglio1!$G$5=0,'KA08'!J2,0)</f>
        <v>0</v>
      </c>
      <c r="U2" s="14">
        <f>IF(Foglio1!$G$5=0,'KA08'!K2,0)</f>
        <v>0</v>
      </c>
    </row>
    <row r="3" spans="1:21" x14ac:dyDescent="0.25">
      <c r="A3">
        <v>9</v>
      </c>
      <c r="B3" s="2">
        <v>19.399999999999999</v>
      </c>
      <c r="C3" s="2">
        <v>35.700000000000003</v>
      </c>
      <c r="D3" s="2">
        <v>79</v>
      </c>
      <c r="E3" s="4">
        <f>D3</f>
        <v>79</v>
      </c>
      <c r="F3" s="2">
        <f>(B3+C3+D3)*13-8.77*3-14.61*33</f>
        <v>1234.8600000000001</v>
      </c>
      <c r="G3" s="4">
        <f>E3*13-14.61*13</f>
        <v>837.06999999999994</v>
      </c>
      <c r="H3" s="2">
        <f t="shared" si="0"/>
        <v>137.68689000000001</v>
      </c>
      <c r="I3" s="5">
        <f t="shared" si="0"/>
        <v>93.333304999999996</v>
      </c>
      <c r="J3" s="6">
        <f t="shared" si="1"/>
        <v>1097.1731100000002</v>
      </c>
      <c r="K3" s="5">
        <f t="shared" si="1"/>
        <v>743.73669499999994</v>
      </c>
      <c r="L3" s="1">
        <v>24</v>
      </c>
      <c r="M3" s="3">
        <v>25</v>
      </c>
      <c r="N3" s="7">
        <f t="shared" si="2"/>
        <v>833.85156360000008</v>
      </c>
      <c r="O3" s="8">
        <f t="shared" si="2"/>
        <v>557.80252125000004</v>
      </c>
      <c r="P3" s="4">
        <f>10*12</f>
        <v>120</v>
      </c>
      <c r="Q3" s="5">
        <f>P3*(100-9.15)/100</f>
        <v>109.02</v>
      </c>
      <c r="R3" s="5">
        <f>Q3*(100-M3)/100</f>
        <v>81.765000000000001</v>
      </c>
      <c r="S3" s="10">
        <f>N3+O3+R3</f>
        <v>1473.4190848500002</v>
      </c>
      <c r="T3" s="14">
        <f>IF(Foglio1!$G$5=9,'KA08'!J3,0)</f>
        <v>0</v>
      </c>
      <c r="U3" s="14">
        <f>IF(Foglio1!$G$5=9,'KA08'!K3,0)</f>
        <v>0</v>
      </c>
    </row>
    <row r="4" spans="1:21" x14ac:dyDescent="0.25">
      <c r="A4">
        <v>15</v>
      </c>
      <c r="B4" s="2">
        <v>21.3</v>
      </c>
      <c r="C4" s="2">
        <v>39.200000000000003</v>
      </c>
      <c r="D4" s="2">
        <v>87</v>
      </c>
      <c r="E4" s="4">
        <f>D4</f>
        <v>87</v>
      </c>
      <c r="F4" s="2">
        <f>(B4+C4+D4)*13-9.62*3-16.03*33</f>
        <v>1359.65</v>
      </c>
      <c r="G4" s="4">
        <f>E4*13-16.33*13</f>
        <v>918.71</v>
      </c>
      <c r="H4" s="2">
        <f t="shared" si="0"/>
        <v>151.60097500000001</v>
      </c>
      <c r="I4" s="5">
        <f t="shared" si="0"/>
        <v>102.436165</v>
      </c>
      <c r="J4" s="6">
        <f t="shared" si="1"/>
        <v>1208.049025</v>
      </c>
      <c r="K4" s="5">
        <f t="shared" si="1"/>
        <v>816.27383500000008</v>
      </c>
      <c r="L4" s="1">
        <v>24</v>
      </c>
      <c r="M4" s="3">
        <v>25</v>
      </c>
      <c r="N4" s="7">
        <f t="shared" si="2"/>
        <v>918.1172590000001</v>
      </c>
      <c r="O4" s="8">
        <f t="shared" si="2"/>
        <v>612.20537625000009</v>
      </c>
      <c r="P4" s="4">
        <f>12*12</f>
        <v>144</v>
      </c>
      <c r="Q4" s="5">
        <f>P4*(100-9.15)/100</f>
        <v>130.82399999999998</v>
      </c>
      <c r="R4" s="5">
        <f>Q4*(100-M4)/100</f>
        <v>98.117999999999995</v>
      </c>
      <c r="S4" s="10">
        <f>N4+O4+R4</f>
        <v>1628.44063525</v>
      </c>
      <c r="T4" s="14">
        <f>IF(Foglio1!$G$5=15,'KA08'!J4,0)</f>
        <v>0</v>
      </c>
      <c r="U4" s="14">
        <f>IF(Foglio1!$G$5=15,'KA08'!K4,0)</f>
        <v>0</v>
      </c>
    </row>
    <row r="5" spans="1:21" x14ac:dyDescent="0.25">
      <c r="A5">
        <v>21</v>
      </c>
      <c r="B5" s="2">
        <v>23.7</v>
      </c>
      <c r="C5" s="2">
        <v>43.6</v>
      </c>
      <c r="D5" s="2">
        <v>97</v>
      </c>
      <c r="E5" s="4">
        <v>91</v>
      </c>
      <c r="F5" s="2">
        <f>(B5+C5+D5)*13-10.7*3-17.83*33</f>
        <v>1515.4100000000003</v>
      </c>
      <c r="G5" s="4">
        <f>E5*13-17.83*13</f>
        <v>951.21</v>
      </c>
      <c r="H5" s="2">
        <f t="shared" si="0"/>
        <v>168.96821500000004</v>
      </c>
      <c r="I5" s="5">
        <f t="shared" si="0"/>
        <v>106.059915</v>
      </c>
      <c r="J5" s="6">
        <f t="shared" si="1"/>
        <v>1346.4417850000002</v>
      </c>
      <c r="K5" s="5">
        <f t="shared" si="1"/>
        <v>845.15008499999999</v>
      </c>
      <c r="L5" s="1">
        <v>25.18</v>
      </c>
      <c r="M5" s="3">
        <v>35</v>
      </c>
      <c r="N5" s="7">
        <f t="shared" si="2"/>
        <v>1007.4077435370001</v>
      </c>
      <c r="O5" s="8">
        <f t="shared" si="2"/>
        <v>549.34755525000003</v>
      </c>
      <c r="P5" s="4">
        <f t="shared" ref="P5" si="3">12*12</f>
        <v>144</v>
      </c>
      <c r="Q5" s="5">
        <f t="shared" ref="Q5:Q7" si="4">P5*(100-9.15)/100</f>
        <v>130.82399999999998</v>
      </c>
      <c r="R5" s="5">
        <f t="shared" ref="R5:R7" si="5">Q5*(100-M5)/100</f>
        <v>85.035599999999988</v>
      </c>
      <c r="S5" s="10">
        <f t="shared" ref="S5:S7" si="6">N5+O5+R5</f>
        <v>1641.7908987870001</v>
      </c>
      <c r="T5" s="14">
        <f>IF(Foglio1!$G$5=21,'KA08'!J5,0)</f>
        <v>0</v>
      </c>
      <c r="U5" s="14">
        <f>IF(Foglio1!$G$5=21,'KA08'!K5,0)</f>
        <v>0</v>
      </c>
    </row>
    <row r="6" spans="1:21" x14ac:dyDescent="0.25">
      <c r="A6">
        <v>28</v>
      </c>
      <c r="B6" s="2">
        <v>25.2</v>
      </c>
      <c r="C6" s="2">
        <v>46.5</v>
      </c>
      <c r="D6" s="2">
        <v>103</v>
      </c>
      <c r="E6" s="4">
        <v>98</v>
      </c>
      <c r="F6" s="2">
        <f>(B6+C6+D6)*13-11.41*3-19.02*33</f>
        <v>1609.21</v>
      </c>
      <c r="G6" s="4">
        <f>E6*13-17.02*13</f>
        <v>1052.74</v>
      </c>
      <c r="H6" s="2">
        <f t="shared" si="0"/>
        <v>179.42691500000001</v>
      </c>
      <c r="I6" s="5">
        <f t="shared" si="0"/>
        <v>117.38051</v>
      </c>
      <c r="J6" s="6">
        <f t="shared" si="1"/>
        <v>1429.783085</v>
      </c>
      <c r="K6" s="5">
        <f t="shared" si="1"/>
        <v>935.35949000000005</v>
      </c>
      <c r="L6" s="1">
        <v>25.18</v>
      </c>
      <c r="M6" s="3">
        <v>35</v>
      </c>
      <c r="N6" s="7">
        <f t="shared" si="2"/>
        <v>1069.7637041969999</v>
      </c>
      <c r="O6" s="8">
        <f t="shared" si="2"/>
        <v>607.98366850000002</v>
      </c>
      <c r="P6" s="4">
        <f>15*12</f>
        <v>180</v>
      </c>
      <c r="Q6" s="5">
        <f t="shared" si="4"/>
        <v>163.52999999999997</v>
      </c>
      <c r="R6" s="5">
        <f t="shared" si="5"/>
        <v>106.29449999999999</v>
      </c>
      <c r="S6" s="10">
        <f t="shared" si="6"/>
        <v>1784.0418726969999</v>
      </c>
      <c r="T6" s="14">
        <f>IF(Foglio1!$G$5=28,'KA08'!J6,0)</f>
        <v>0</v>
      </c>
      <c r="U6" s="14">
        <f>IF(Foglio1!$G$5=28,'KA08'!K6,0)</f>
        <v>0</v>
      </c>
    </row>
    <row r="7" spans="1:21" x14ac:dyDescent="0.25">
      <c r="A7">
        <v>35</v>
      </c>
      <c r="B7" s="2">
        <v>26.5</v>
      </c>
      <c r="C7" s="2">
        <v>48.8</v>
      </c>
      <c r="D7" s="2">
        <v>108</v>
      </c>
      <c r="E7" s="4">
        <v>103</v>
      </c>
      <c r="F7" s="2">
        <f>(B7+C7+D7)*13-11.97*3-19.96*33</f>
        <v>1688.3100000000002</v>
      </c>
      <c r="G7" s="4">
        <f>E7*13-19.96*13</f>
        <v>1079.52</v>
      </c>
      <c r="H7" s="2">
        <f t="shared" si="0"/>
        <v>188.24656500000003</v>
      </c>
      <c r="I7" s="5">
        <f t="shared" si="0"/>
        <v>120.36648</v>
      </c>
      <c r="J7" s="6">
        <f t="shared" si="1"/>
        <v>1500.063435</v>
      </c>
      <c r="K7" s="5">
        <f t="shared" si="1"/>
        <v>959.15351999999996</v>
      </c>
      <c r="L7" s="1">
        <v>25.18</v>
      </c>
      <c r="M7" s="3">
        <v>35</v>
      </c>
      <c r="N7" s="7">
        <f t="shared" si="2"/>
        <v>1122.3474620669999</v>
      </c>
      <c r="O7" s="8">
        <f t="shared" si="2"/>
        <v>623.44978800000001</v>
      </c>
      <c r="P7" s="4">
        <f>15*12</f>
        <v>180</v>
      </c>
      <c r="Q7" s="5">
        <f t="shared" si="4"/>
        <v>163.52999999999997</v>
      </c>
      <c r="R7" s="5">
        <f t="shared" si="5"/>
        <v>106.29449999999999</v>
      </c>
      <c r="S7" s="10">
        <f t="shared" si="6"/>
        <v>1852.0917500669998</v>
      </c>
      <c r="T7" s="14">
        <f>IF(Foglio1!$G$5=35,'KA08'!J7,0)</f>
        <v>1500.063435</v>
      </c>
      <c r="U7" s="14">
        <f>IF(Foglio1!$G$5=35,'KA08'!K7,0)</f>
        <v>959.15351999999996</v>
      </c>
    </row>
    <row r="8" spans="1:21" x14ac:dyDescent="0.25">
      <c r="T8" s="12">
        <f>SUM(T2:T7)</f>
        <v>1500.063435</v>
      </c>
      <c r="U8" s="12">
        <f>SUM(U2:U7)</f>
        <v>959.15351999999996</v>
      </c>
    </row>
    <row r="23" spans="9:11" ht="31.5" x14ac:dyDescent="0.5">
      <c r="I23" s="11" t="s">
        <v>28</v>
      </c>
    </row>
    <row r="26" spans="9:11" x14ac:dyDescent="0.25">
      <c r="I26">
        <f>IF(Foglio1!A3='KA08'!I23,1,0)</f>
        <v>0</v>
      </c>
      <c r="J26" s="12">
        <f>T8*I26</f>
        <v>0</v>
      </c>
      <c r="K26" s="12">
        <f>U8*I26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Foglio1</vt:lpstr>
      <vt:lpstr>ka01</vt:lpstr>
      <vt:lpstr>KA05</vt:lpstr>
      <vt:lpstr>KA07</vt:lpstr>
      <vt:lpstr>KA08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sergio.manzon</dc:creator>
  <cp:lastModifiedBy>Manzon Sergio</cp:lastModifiedBy>
  <dcterms:created xsi:type="dcterms:W3CDTF">2022-11-11T19:01:21Z</dcterms:created>
  <dcterms:modified xsi:type="dcterms:W3CDTF">2022-11-26T11:32:11Z</dcterms:modified>
</cp:coreProperties>
</file>